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TS-XLC5E\share\_design\__各種計算シート\_ERBS\"/>
    </mc:Choice>
  </mc:AlternateContent>
  <xr:revisionPtr revIDLastSave="0" documentId="13_ncr:1_{F50586A0-3B03-4A49-9653-DFC77D8E08C2}" xr6:coauthVersionLast="47" xr6:coauthVersionMax="47" xr10:uidLastSave="{00000000-0000-0000-0000-000000000000}"/>
  <bookViews>
    <workbookView xWindow="-120" yWindow="-120" windowWidth="28110" windowHeight="16440" xr2:uid="{E7C65F08-21B1-416D-AD50-3B96672D6C5F}"/>
  </bookViews>
  <sheets>
    <sheet name="Readme" sheetId="114" r:id="rId1"/>
    <sheet name="Design" sheetId="111" r:id="rId2"/>
    <sheet name="List" sheetId="78" r:id="rId3"/>
    <sheet name="shs" sheetId="108" r:id="rId4"/>
    <sheet name="wf" sheetId="112" r:id="rId5"/>
    <sheet name="pipe" sheetId="113" r:id="rId6"/>
    <sheet name="str" sheetId="80" r:id="rId7"/>
    <sheet name="out" sheetId="79" r:id="rId8"/>
  </sheets>
  <definedNames>
    <definedName name="____________Brv1" localSheetId="5">#REF!</definedName>
    <definedName name="____________Brv1" localSheetId="3">#REF!</definedName>
    <definedName name="____________Brv1" localSheetId="4">#REF!</definedName>
    <definedName name="____________Brv1">#REF!</definedName>
    <definedName name="____________Brv2" localSheetId="5">#REF!</definedName>
    <definedName name="____________Brv2" localSheetId="3">#REF!</definedName>
    <definedName name="____________Brv2" localSheetId="4">#REF!</definedName>
    <definedName name="____________Brv2">#REF!</definedName>
    <definedName name="____________Brv3" localSheetId="5">#REF!</definedName>
    <definedName name="____________Brv3" localSheetId="3">#REF!</definedName>
    <definedName name="____________Brv3" localSheetId="4">#REF!</definedName>
    <definedName name="____________Brv3">#REF!</definedName>
    <definedName name="____________Brv4" localSheetId="5">#REF!</definedName>
    <definedName name="____________Brv4" localSheetId="3">#REF!</definedName>
    <definedName name="____________Brv4" localSheetId="4">#REF!</definedName>
    <definedName name="____________Brv4">#REF!</definedName>
    <definedName name="____________Brv5" localSheetId="5">#REF!</definedName>
    <definedName name="____________Brv5" localSheetId="3">#REF!</definedName>
    <definedName name="____________Brv5" localSheetId="4">#REF!</definedName>
    <definedName name="____________Brv5">#REF!</definedName>
    <definedName name="____________Brv6" localSheetId="5">#REF!</definedName>
    <definedName name="____________Brv6" localSheetId="3">#REF!</definedName>
    <definedName name="____________Brv6" localSheetId="4">#REF!</definedName>
    <definedName name="____________Brv6">#REF!</definedName>
    <definedName name="___________Brv1" localSheetId="5">#REF!</definedName>
    <definedName name="___________Brv1" localSheetId="3">#REF!</definedName>
    <definedName name="___________Brv1" localSheetId="4">#REF!</definedName>
    <definedName name="___________Brv1">#REF!</definedName>
    <definedName name="___________Brv2" localSheetId="5">#REF!</definedName>
    <definedName name="___________Brv2" localSheetId="3">#REF!</definedName>
    <definedName name="___________Brv2" localSheetId="4">#REF!</definedName>
    <definedName name="___________Brv2">#REF!</definedName>
    <definedName name="___________Brv3" localSheetId="5">#REF!</definedName>
    <definedName name="___________Brv3" localSheetId="3">#REF!</definedName>
    <definedName name="___________Brv3" localSheetId="4">#REF!</definedName>
    <definedName name="___________Brv3">#REF!</definedName>
    <definedName name="___________Brv4" localSheetId="5">#REF!</definedName>
    <definedName name="___________Brv4" localSheetId="3">#REF!</definedName>
    <definedName name="___________Brv4" localSheetId="4">#REF!</definedName>
    <definedName name="___________Brv4">#REF!</definedName>
    <definedName name="___________Brv5" localSheetId="5">#REF!</definedName>
    <definedName name="___________Brv5" localSheetId="3">#REF!</definedName>
    <definedName name="___________Brv5" localSheetId="4">#REF!</definedName>
    <definedName name="___________Brv5">#REF!</definedName>
    <definedName name="___________Brv6" localSheetId="5">#REF!</definedName>
    <definedName name="___________Brv6" localSheetId="3">#REF!</definedName>
    <definedName name="___________Brv6" localSheetId="4">#REF!</definedName>
    <definedName name="___________Brv6">#REF!</definedName>
    <definedName name="___________KA1" localSheetId="5">#REF!</definedName>
    <definedName name="___________KA1" localSheetId="3">#REF!</definedName>
    <definedName name="___________KA1" localSheetId="4">#REF!</definedName>
    <definedName name="___________KA1">#REF!</definedName>
    <definedName name="___________KAS1" localSheetId="5">#REF!</definedName>
    <definedName name="___________KAS1" localSheetId="3">#REF!</definedName>
    <definedName name="___________KAS1" localSheetId="4">#REF!</definedName>
    <definedName name="___________KAS1">#REF!</definedName>
    <definedName name="___________KKA1" localSheetId="5">#REF!</definedName>
    <definedName name="___________KKA1" localSheetId="3">#REF!</definedName>
    <definedName name="___________KKA1" localSheetId="4">#REF!</definedName>
    <definedName name="___________KKA1">#REF!</definedName>
    <definedName name="___________KS1" localSheetId="5">#REF!</definedName>
    <definedName name="___________KS1" localSheetId="3">#REF!</definedName>
    <definedName name="___________KS1" localSheetId="4">#REF!</definedName>
    <definedName name="___________KS1">#REF!</definedName>
    <definedName name="___________KT2" localSheetId="5">#REF!</definedName>
    <definedName name="___________KT2" localSheetId="3">#REF!</definedName>
    <definedName name="___________KT2" localSheetId="4">#REF!</definedName>
    <definedName name="___________KT2">#REF!</definedName>
    <definedName name="___________KT21" localSheetId="5">#REF!</definedName>
    <definedName name="___________KT21" localSheetId="3">#REF!</definedName>
    <definedName name="___________KT21" localSheetId="4">#REF!</definedName>
    <definedName name="___________KT21">#REF!</definedName>
    <definedName name="___________MM1" localSheetId="5">#REF!</definedName>
    <definedName name="___________MM1" localSheetId="3">#REF!</definedName>
    <definedName name="___________MM1" localSheetId="4">#REF!</definedName>
    <definedName name="___________MM1">#REF!</definedName>
    <definedName name="___________MMI1" localSheetId="5">#REF!</definedName>
    <definedName name="___________MMI1" localSheetId="3">#REF!</definedName>
    <definedName name="___________MMI1" localSheetId="4">#REF!</definedName>
    <definedName name="___________MMI1">#REF!</definedName>
    <definedName name="___________MMM1" localSheetId="5">#REF!</definedName>
    <definedName name="___________MMM1" localSheetId="3">#REF!</definedName>
    <definedName name="___________MMM1" localSheetId="4">#REF!</definedName>
    <definedName name="___________MMM1">#REF!</definedName>
    <definedName name="___________MMO1" localSheetId="5">#REF!</definedName>
    <definedName name="___________MMO1" localSheetId="3">#REF!</definedName>
    <definedName name="___________MMO1" localSheetId="4">#REF!</definedName>
    <definedName name="___________MMO1">#REF!</definedName>
    <definedName name="___________MMR1" localSheetId="5">#REF!</definedName>
    <definedName name="___________MMR1" localSheetId="3">#REF!</definedName>
    <definedName name="___________MMR1" localSheetId="4">#REF!</definedName>
    <definedName name="___________MMR1">#REF!</definedName>
    <definedName name="___________SSS2" localSheetId="5">#REF!</definedName>
    <definedName name="___________SSS2" localSheetId="3">#REF!</definedName>
    <definedName name="___________SSS2" localSheetId="4">#REF!</definedName>
    <definedName name="___________SSS2">#REF!</definedName>
    <definedName name="___________SSS21" localSheetId="5">#REF!</definedName>
    <definedName name="___________SSS21" localSheetId="3">#REF!</definedName>
    <definedName name="___________SSS21" localSheetId="4">#REF!</definedName>
    <definedName name="___________SSS21">#REF!</definedName>
    <definedName name="___________SSS3" localSheetId="5">#REF!</definedName>
    <definedName name="___________SSS3" localSheetId="3">#REF!</definedName>
    <definedName name="___________SSS3" localSheetId="4">#REF!</definedName>
    <definedName name="___________SSS3">#REF!</definedName>
    <definedName name="___________SSS31" localSheetId="5">#REF!</definedName>
    <definedName name="___________SSS31" localSheetId="3">#REF!</definedName>
    <definedName name="___________SSS31" localSheetId="4">#REF!</definedName>
    <definedName name="___________SSS31">#REF!</definedName>
    <definedName name="__________Brv1" localSheetId="5">#REF!</definedName>
    <definedName name="__________Brv1" localSheetId="3">#REF!</definedName>
    <definedName name="__________Brv1" localSheetId="4">#REF!</definedName>
    <definedName name="__________Brv1">#REF!</definedName>
    <definedName name="__________Brv2" localSheetId="5">#REF!</definedName>
    <definedName name="__________Brv2" localSheetId="3">#REF!</definedName>
    <definedName name="__________Brv2" localSheetId="4">#REF!</definedName>
    <definedName name="__________Brv2">#REF!</definedName>
    <definedName name="__________Brv3" localSheetId="5">#REF!</definedName>
    <definedName name="__________Brv3" localSheetId="3">#REF!</definedName>
    <definedName name="__________Brv3" localSheetId="4">#REF!</definedName>
    <definedName name="__________Brv3">#REF!</definedName>
    <definedName name="__________Brv4" localSheetId="5">#REF!</definedName>
    <definedName name="__________Brv4" localSheetId="3">#REF!</definedName>
    <definedName name="__________Brv4" localSheetId="4">#REF!</definedName>
    <definedName name="__________Brv4">#REF!</definedName>
    <definedName name="__________Brv5" localSheetId="5">#REF!</definedName>
    <definedName name="__________Brv5" localSheetId="3">#REF!</definedName>
    <definedName name="__________Brv5" localSheetId="4">#REF!</definedName>
    <definedName name="__________Brv5">#REF!</definedName>
    <definedName name="__________Brv6" localSheetId="5">#REF!</definedName>
    <definedName name="__________Brv6" localSheetId="3">#REF!</definedName>
    <definedName name="__________Brv6" localSheetId="4">#REF!</definedName>
    <definedName name="__________Brv6">#REF!</definedName>
    <definedName name="__________KA1" localSheetId="5">#REF!</definedName>
    <definedName name="__________KA1" localSheetId="3">#REF!</definedName>
    <definedName name="__________KA1" localSheetId="4">#REF!</definedName>
    <definedName name="__________KA1">#REF!</definedName>
    <definedName name="__________KAS1" localSheetId="5">#REF!</definedName>
    <definedName name="__________KAS1" localSheetId="3">#REF!</definedName>
    <definedName name="__________KAS1" localSheetId="4">#REF!</definedName>
    <definedName name="__________KAS1">#REF!</definedName>
    <definedName name="__________KKA1" localSheetId="5">#REF!</definedName>
    <definedName name="__________KKA1" localSheetId="3">#REF!</definedName>
    <definedName name="__________KKA1" localSheetId="4">#REF!</definedName>
    <definedName name="__________KKA1">#REF!</definedName>
    <definedName name="__________KS1" localSheetId="5">#REF!</definedName>
    <definedName name="__________KS1" localSheetId="3">#REF!</definedName>
    <definedName name="__________KS1" localSheetId="4">#REF!</definedName>
    <definedName name="__________KS1">#REF!</definedName>
    <definedName name="__________KT2" localSheetId="5">#REF!</definedName>
    <definedName name="__________KT2" localSheetId="3">#REF!</definedName>
    <definedName name="__________KT2" localSheetId="4">#REF!</definedName>
    <definedName name="__________KT2">#REF!</definedName>
    <definedName name="__________KT21" localSheetId="5">#REF!</definedName>
    <definedName name="__________KT21" localSheetId="3">#REF!</definedName>
    <definedName name="__________KT21" localSheetId="4">#REF!</definedName>
    <definedName name="__________KT21">#REF!</definedName>
    <definedName name="__________MM1" localSheetId="5">#REF!</definedName>
    <definedName name="__________MM1" localSheetId="3">#REF!</definedName>
    <definedName name="__________MM1" localSheetId="4">#REF!</definedName>
    <definedName name="__________MM1">#REF!</definedName>
    <definedName name="__________MMI1" localSheetId="5">#REF!</definedName>
    <definedName name="__________MMI1" localSheetId="3">#REF!</definedName>
    <definedName name="__________MMI1" localSheetId="4">#REF!</definedName>
    <definedName name="__________MMI1">#REF!</definedName>
    <definedName name="__________MMM1" localSheetId="5">#REF!</definedName>
    <definedName name="__________MMM1" localSheetId="3">#REF!</definedName>
    <definedName name="__________MMM1" localSheetId="4">#REF!</definedName>
    <definedName name="__________MMM1">#REF!</definedName>
    <definedName name="__________MMO1" localSheetId="5">#REF!</definedName>
    <definedName name="__________MMO1" localSheetId="3">#REF!</definedName>
    <definedName name="__________MMO1" localSheetId="4">#REF!</definedName>
    <definedName name="__________MMO1">#REF!</definedName>
    <definedName name="__________MMR1" localSheetId="5">#REF!</definedName>
    <definedName name="__________MMR1" localSheetId="3">#REF!</definedName>
    <definedName name="__________MMR1" localSheetId="4">#REF!</definedName>
    <definedName name="__________MMR1">#REF!</definedName>
    <definedName name="__________SSS2" localSheetId="5">#REF!</definedName>
    <definedName name="__________SSS2" localSheetId="3">#REF!</definedName>
    <definedName name="__________SSS2" localSheetId="4">#REF!</definedName>
    <definedName name="__________SSS2">#REF!</definedName>
    <definedName name="__________SSS21" localSheetId="5">#REF!</definedName>
    <definedName name="__________SSS21" localSheetId="3">#REF!</definedName>
    <definedName name="__________SSS21" localSheetId="4">#REF!</definedName>
    <definedName name="__________SSS21">#REF!</definedName>
    <definedName name="__________SSS3" localSheetId="5">#REF!</definedName>
    <definedName name="__________SSS3" localSheetId="3">#REF!</definedName>
    <definedName name="__________SSS3" localSheetId="4">#REF!</definedName>
    <definedName name="__________SSS3">#REF!</definedName>
    <definedName name="__________SSS31" localSheetId="5">#REF!</definedName>
    <definedName name="__________SSS31" localSheetId="3">#REF!</definedName>
    <definedName name="__________SSS31" localSheetId="4">#REF!</definedName>
    <definedName name="__________SSS31">#REF!</definedName>
    <definedName name="_________KA1" localSheetId="5">#REF!</definedName>
    <definedName name="_________KA1" localSheetId="3">#REF!</definedName>
    <definedName name="_________KA1" localSheetId="4">#REF!</definedName>
    <definedName name="_________KA1">#REF!</definedName>
    <definedName name="_________KAS1" localSheetId="5">#REF!</definedName>
    <definedName name="_________KAS1" localSheetId="3">#REF!</definedName>
    <definedName name="_________KAS1" localSheetId="4">#REF!</definedName>
    <definedName name="_________KAS1">#REF!</definedName>
    <definedName name="_________KKA1" localSheetId="5">#REF!</definedName>
    <definedName name="_________KKA1" localSheetId="3">#REF!</definedName>
    <definedName name="_________KKA1" localSheetId="4">#REF!</definedName>
    <definedName name="_________KKA1">#REF!</definedName>
    <definedName name="_________KS1" localSheetId="5">#REF!</definedName>
    <definedName name="_________KS1" localSheetId="3">#REF!</definedName>
    <definedName name="_________KS1" localSheetId="4">#REF!</definedName>
    <definedName name="_________KS1">#REF!</definedName>
    <definedName name="_________KT2" localSheetId="5">#REF!</definedName>
    <definedName name="_________KT2" localSheetId="3">#REF!</definedName>
    <definedName name="_________KT2" localSheetId="4">#REF!</definedName>
    <definedName name="_________KT2">#REF!</definedName>
    <definedName name="_________KT21" localSheetId="5">#REF!</definedName>
    <definedName name="_________KT21" localSheetId="3">#REF!</definedName>
    <definedName name="_________KT21" localSheetId="4">#REF!</definedName>
    <definedName name="_________KT21">#REF!</definedName>
    <definedName name="_________MM1" localSheetId="5">#REF!</definedName>
    <definedName name="_________MM1" localSheetId="3">#REF!</definedName>
    <definedName name="_________MM1" localSheetId="4">#REF!</definedName>
    <definedName name="_________MM1">#REF!</definedName>
    <definedName name="_________MMI1" localSheetId="5">#REF!</definedName>
    <definedName name="_________MMI1" localSheetId="3">#REF!</definedName>
    <definedName name="_________MMI1" localSheetId="4">#REF!</definedName>
    <definedName name="_________MMI1">#REF!</definedName>
    <definedName name="_________MMM1" localSheetId="5">#REF!</definedName>
    <definedName name="_________MMM1" localSheetId="3">#REF!</definedName>
    <definedName name="_________MMM1" localSheetId="4">#REF!</definedName>
    <definedName name="_________MMM1">#REF!</definedName>
    <definedName name="_________MMO1" localSheetId="5">#REF!</definedName>
    <definedName name="_________MMO1" localSheetId="3">#REF!</definedName>
    <definedName name="_________MMO1" localSheetId="4">#REF!</definedName>
    <definedName name="_________MMO1">#REF!</definedName>
    <definedName name="_________MMR1" localSheetId="5">#REF!</definedName>
    <definedName name="_________MMR1" localSheetId="3">#REF!</definedName>
    <definedName name="_________MMR1" localSheetId="4">#REF!</definedName>
    <definedName name="_________MMR1">#REF!</definedName>
    <definedName name="_________SSS2" localSheetId="5">#REF!</definedName>
    <definedName name="_________SSS2" localSheetId="3">#REF!</definedName>
    <definedName name="_________SSS2" localSheetId="4">#REF!</definedName>
    <definedName name="_________SSS2">#REF!</definedName>
    <definedName name="_________SSS21" localSheetId="5">#REF!</definedName>
    <definedName name="_________SSS21" localSheetId="3">#REF!</definedName>
    <definedName name="_________SSS21" localSheetId="4">#REF!</definedName>
    <definedName name="_________SSS21">#REF!</definedName>
    <definedName name="_________SSS3" localSheetId="5">#REF!</definedName>
    <definedName name="_________SSS3" localSheetId="3">#REF!</definedName>
    <definedName name="_________SSS3" localSheetId="4">#REF!</definedName>
    <definedName name="_________SSS3">#REF!</definedName>
    <definedName name="_________SSS31" localSheetId="5">#REF!</definedName>
    <definedName name="_________SSS31" localSheetId="3">#REF!</definedName>
    <definedName name="_________SSS31" localSheetId="4">#REF!</definedName>
    <definedName name="_________SSS31">#REF!</definedName>
    <definedName name="________Brv1" localSheetId="5">#REF!</definedName>
    <definedName name="________Brv1" localSheetId="3">#REF!</definedName>
    <definedName name="________Brv1" localSheetId="4">#REF!</definedName>
    <definedName name="________Brv1">#REF!</definedName>
    <definedName name="________Brv2" localSheetId="5">#REF!</definedName>
    <definedName name="________Brv2" localSheetId="3">#REF!</definedName>
    <definedName name="________Brv2" localSheetId="4">#REF!</definedName>
    <definedName name="________Brv2">#REF!</definedName>
    <definedName name="________Brv3" localSheetId="5">#REF!</definedName>
    <definedName name="________Brv3" localSheetId="3">#REF!</definedName>
    <definedName name="________Brv3" localSheetId="4">#REF!</definedName>
    <definedName name="________Brv3">#REF!</definedName>
    <definedName name="________Brv4" localSheetId="5">#REF!</definedName>
    <definedName name="________Brv4" localSheetId="3">#REF!</definedName>
    <definedName name="________Brv4" localSheetId="4">#REF!</definedName>
    <definedName name="________Brv4">#REF!</definedName>
    <definedName name="________Brv5" localSheetId="5">#REF!</definedName>
    <definedName name="________Brv5" localSheetId="3">#REF!</definedName>
    <definedName name="________Brv5" localSheetId="4">#REF!</definedName>
    <definedName name="________Brv5">#REF!</definedName>
    <definedName name="________Brv6" localSheetId="5">#REF!</definedName>
    <definedName name="________Brv6" localSheetId="3">#REF!</definedName>
    <definedName name="________Brv6" localSheetId="4">#REF!</definedName>
    <definedName name="________Brv6">#REF!</definedName>
    <definedName name="________KA1" localSheetId="5">#REF!</definedName>
    <definedName name="________KA1" localSheetId="3">#REF!</definedName>
    <definedName name="________KA1" localSheetId="4">#REF!</definedName>
    <definedName name="________KA1">#REF!</definedName>
    <definedName name="________KAS1" localSheetId="5">#REF!</definedName>
    <definedName name="________KAS1" localSheetId="3">#REF!</definedName>
    <definedName name="________KAS1" localSheetId="4">#REF!</definedName>
    <definedName name="________KAS1">#REF!</definedName>
    <definedName name="________KKA1" localSheetId="5">#REF!</definedName>
    <definedName name="________KKA1" localSheetId="3">#REF!</definedName>
    <definedName name="________KKA1" localSheetId="4">#REF!</definedName>
    <definedName name="________KKA1">#REF!</definedName>
    <definedName name="________KS1" localSheetId="5">#REF!</definedName>
    <definedName name="________KS1" localSheetId="3">#REF!</definedName>
    <definedName name="________KS1" localSheetId="4">#REF!</definedName>
    <definedName name="________KS1">#REF!</definedName>
    <definedName name="________KT2" localSheetId="5">#REF!</definedName>
    <definedName name="________KT2" localSheetId="3">#REF!</definedName>
    <definedName name="________KT2" localSheetId="4">#REF!</definedName>
    <definedName name="________KT2">#REF!</definedName>
    <definedName name="________KT21" localSheetId="5">#REF!</definedName>
    <definedName name="________KT21" localSheetId="3">#REF!</definedName>
    <definedName name="________KT21" localSheetId="4">#REF!</definedName>
    <definedName name="________KT21">#REF!</definedName>
    <definedName name="________MM1" localSheetId="5">#REF!</definedName>
    <definedName name="________MM1" localSheetId="3">#REF!</definedName>
    <definedName name="________MM1" localSheetId="4">#REF!</definedName>
    <definedName name="________MM1">#REF!</definedName>
    <definedName name="________MMI1" localSheetId="5">#REF!</definedName>
    <definedName name="________MMI1" localSheetId="3">#REF!</definedName>
    <definedName name="________MMI1" localSheetId="4">#REF!</definedName>
    <definedName name="________MMI1">#REF!</definedName>
    <definedName name="________MMM1" localSheetId="5">#REF!</definedName>
    <definedName name="________MMM1" localSheetId="3">#REF!</definedName>
    <definedName name="________MMM1" localSheetId="4">#REF!</definedName>
    <definedName name="________MMM1">#REF!</definedName>
    <definedName name="________MMO1" localSheetId="5">#REF!</definedName>
    <definedName name="________MMO1" localSheetId="3">#REF!</definedName>
    <definedName name="________MMO1" localSheetId="4">#REF!</definedName>
    <definedName name="________MMO1">#REF!</definedName>
    <definedName name="________MMR1" localSheetId="5">#REF!</definedName>
    <definedName name="________MMR1" localSheetId="3">#REF!</definedName>
    <definedName name="________MMR1" localSheetId="4">#REF!</definedName>
    <definedName name="________MMR1">#REF!</definedName>
    <definedName name="________SSS2" localSheetId="5">#REF!</definedName>
    <definedName name="________SSS2" localSheetId="3">#REF!</definedName>
    <definedName name="________SSS2" localSheetId="4">#REF!</definedName>
    <definedName name="________SSS2">#REF!</definedName>
    <definedName name="________SSS21" localSheetId="5">#REF!</definedName>
    <definedName name="________SSS21" localSheetId="3">#REF!</definedName>
    <definedName name="________SSS21" localSheetId="4">#REF!</definedName>
    <definedName name="________SSS21">#REF!</definedName>
    <definedName name="________SSS3" localSheetId="5">#REF!</definedName>
    <definedName name="________SSS3" localSheetId="3">#REF!</definedName>
    <definedName name="________SSS3" localSheetId="4">#REF!</definedName>
    <definedName name="________SSS3">#REF!</definedName>
    <definedName name="________SSS31" localSheetId="5">#REF!</definedName>
    <definedName name="________SSS31" localSheetId="3">#REF!</definedName>
    <definedName name="________SSS31" localSheetId="4">#REF!</definedName>
    <definedName name="________SSS31">#REF!</definedName>
    <definedName name="_______Brv1" localSheetId="5">#REF!</definedName>
    <definedName name="_______Brv1" localSheetId="3">#REF!</definedName>
    <definedName name="_______Brv1" localSheetId="4">#REF!</definedName>
    <definedName name="_______Brv1">#REF!</definedName>
    <definedName name="_______Brv2" localSheetId="5">#REF!</definedName>
    <definedName name="_______Brv2" localSheetId="3">#REF!</definedName>
    <definedName name="_______Brv2" localSheetId="4">#REF!</definedName>
    <definedName name="_______Brv2">#REF!</definedName>
    <definedName name="_______Brv3" localSheetId="5">#REF!</definedName>
    <definedName name="_______Brv3" localSheetId="3">#REF!</definedName>
    <definedName name="_______Brv3" localSheetId="4">#REF!</definedName>
    <definedName name="_______Brv3">#REF!</definedName>
    <definedName name="_______Brv4" localSheetId="5">#REF!</definedName>
    <definedName name="_______Brv4" localSheetId="3">#REF!</definedName>
    <definedName name="_______Brv4" localSheetId="4">#REF!</definedName>
    <definedName name="_______Brv4">#REF!</definedName>
    <definedName name="_______Brv5" localSheetId="5">#REF!</definedName>
    <definedName name="_______Brv5" localSheetId="3">#REF!</definedName>
    <definedName name="_______Brv5" localSheetId="4">#REF!</definedName>
    <definedName name="_______Brv5">#REF!</definedName>
    <definedName name="_______Brv6" localSheetId="5">#REF!</definedName>
    <definedName name="_______Brv6" localSheetId="3">#REF!</definedName>
    <definedName name="_______Brv6" localSheetId="4">#REF!</definedName>
    <definedName name="_______Brv6">#REF!</definedName>
    <definedName name="_______KA1" localSheetId="5">#REF!</definedName>
    <definedName name="_______KA1" localSheetId="3">#REF!</definedName>
    <definedName name="_______KA1" localSheetId="4">#REF!</definedName>
    <definedName name="_______KA1">#REF!</definedName>
    <definedName name="_______KAS1" localSheetId="5">#REF!</definedName>
    <definedName name="_______KAS1" localSheetId="3">#REF!</definedName>
    <definedName name="_______KAS1" localSheetId="4">#REF!</definedName>
    <definedName name="_______KAS1">#REF!</definedName>
    <definedName name="_______KKA1" localSheetId="5">#REF!</definedName>
    <definedName name="_______KKA1" localSheetId="3">#REF!</definedName>
    <definedName name="_______KKA1" localSheetId="4">#REF!</definedName>
    <definedName name="_______KKA1">#REF!</definedName>
    <definedName name="_______KS1" localSheetId="5">#REF!</definedName>
    <definedName name="_______KS1" localSheetId="3">#REF!</definedName>
    <definedName name="_______KS1" localSheetId="4">#REF!</definedName>
    <definedName name="_______KS1">#REF!</definedName>
    <definedName name="_______KT2" localSheetId="5">#REF!</definedName>
    <definedName name="_______KT2" localSheetId="3">#REF!</definedName>
    <definedName name="_______KT2" localSheetId="4">#REF!</definedName>
    <definedName name="_______KT2">#REF!</definedName>
    <definedName name="_______KT21" localSheetId="5">#REF!</definedName>
    <definedName name="_______KT21" localSheetId="3">#REF!</definedName>
    <definedName name="_______KT21" localSheetId="4">#REF!</definedName>
    <definedName name="_______KT21">#REF!</definedName>
    <definedName name="_______MM1" localSheetId="5">#REF!</definedName>
    <definedName name="_______MM1" localSheetId="3">#REF!</definedName>
    <definedName name="_______MM1" localSheetId="4">#REF!</definedName>
    <definedName name="_______MM1">#REF!</definedName>
    <definedName name="_______MMI1" localSheetId="5">#REF!</definedName>
    <definedName name="_______MMI1" localSheetId="3">#REF!</definedName>
    <definedName name="_______MMI1" localSheetId="4">#REF!</definedName>
    <definedName name="_______MMI1">#REF!</definedName>
    <definedName name="_______MMM1" localSheetId="5">#REF!</definedName>
    <definedName name="_______MMM1" localSheetId="3">#REF!</definedName>
    <definedName name="_______MMM1" localSheetId="4">#REF!</definedName>
    <definedName name="_______MMM1">#REF!</definedName>
    <definedName name="_______MMO1" localSheetId="5">#REF!</definedName>
    <definedName name="_______MMO1" localSheetId="3">#REF!</definedName>
    <definedName name="_______MMO1" localSheetId="4">#REF!</definedName>
    <definedName name="_______MMO1">#REF!</definedName>
    <definedName name="_______MMR1" localSheetId="5">#REF!</definedName>
    <definedName name="_______MMR1" localSheetId="3">#REF!</definedName>
    <definedName name="_______MMR1" localSheetId="4">#REF!</definedName>
    <definedName name="_______MMR1">#REF!</definedName>
    <definedName name="_______SSS2" localSheetId="5">#REF!</definedName>
    <definedName name="_______SSS2" localSheetId="3">#REF!</definedName>
    <definedName name="_______SSS2" localSheetId="4">#REF!</definedName>
    <definedName name="_______SSS2">#REF!</definedName>
    <definedName name="_______SSS21" localSheetId="5">#REF!</definedName>
    <definedName name="_______SSS21" localSheetId="3">#REF!</definedName>
    <definedName name="_______SSS21" localSheetId="4">#REF!</definedName>
    <definedName name="_______SSS21">#REF!</definedName>
    <definedName name="_______SSS3" localSheetId="5">#REF!</definedName>
    <definedName name="_______SSS3" localSheetId="3">#REF!</definedName>
    <definedName name="_______SSS3" localSheetId="4">#REF!</definedName>
    <definedName name="_______SSS3">#REF!</definedName>
    <definedName name="_______SSS31" localSheetId="5">#REF!</definedName>
    <definedName name="_______SSS31" localSheetId="3">#REF!</definedName>
    <definedName name="_______SSS31" localSheetId="4">#REF!</definedName>
    <definedName name="_______SSS31">#REF!</definedName>
    <definedName name="______Brv1" localSheetId="5">#REF!</definedName>
    <definedName name="______Brv1" localSheetId="3">#REF!</definedName>
    <definedName name="______Brv1" localSheetId="4">#REF!</definedName>
    <definedName name="______Brv1">#REF!</definedName>
    <definedName name="______Brv2" localSheetId="5">#REF!</definedName>
    <definedName name="______Brv2" localSheetId="3">#REF!</definedName>
    <definedName name="______Brv2" localSheetId="4">#REF!</definedName>
    <definedName name="______Brv2">#REF!</definedName>
    <definedName name="______Brv3" localSheetId="5">#REF!</definedName>
    <definedName name="______Brv3" localSheetId="3">#REF!</definedName>
    <definedName name="______Brv3" localSheetId="4">#REF!</definedName>
    <definedName name="______Brv3">#REF!</definedName>
    <definedName name="______Brv4" localSheetId="5">#REF!</definedName>
    <definedName name="______Brv4" localSheetId="3">#REF!</definedName>
    <definedName name="______Brv4" localSheetId="4">#REF!</definedName>
    <definedName name="______Brv4">#REF!</definedName>
    <definedName name="______Brv5" localSheetId="5">#REF!</definedName>
    <definedName name="______Brv5" localSheetId="3">#REF!</definedName>
    <definedName name="______Brv5" localSheetId="4">#REF!</definedName>
    <definedName name="______Brv5">#REF!</definedName>
    <definedName name="______Brv6" localSheetId="5">#REF!</definedName>
    <definedName name="______Brv6" localSheetId="3">#REF!</definedName>
    <definedName name="______Brv6" localSheetId="4">#REF!</definedName>
    <definedName name="______Brv6">#REF!</definedName>
    <definedName name="______KA1" localSheetId="5">#REF!</definedName>
    <definedName name="______KA1" localSheetId="3">#REF!</definedName>
    <definedName name="______KA1" localSheetId="4">#REF!</definedName>
    <definedName name="______KA1">#REF!</definedName>
    <definedName name="______KAS1" localSheetId="5">#REF!</definedName>
    <definedName name="______KAS1" localSheetId="3">#REF!</definedName>
    <definedName name="______KAS1" localSheetId="4">#REF!</definedName>
    <definedName name="______KAS1">#REF!</definedName>
    <definedName name="______KKA1" localSheetId="5">#REF!</definedName>
    <definedName name="______KKA1" localSheetId="3">#REF!</definedName>
    <definedName name="______KKA1" localSheetId="4">#REF!</definedName>
    <definedName name="______KKA1">#REF!</definedName>
    <definedName name="______KS1" localSheetId="5">#REF!</definedName>
    <definedName name="______KS1" localSheetId="3">#REF!</definedName>
    <definedName name="______KS1" localSheetId="4">#REF!</definedName>
    <definedName name="______KS1">#REF!</definedName>
    <definedName name="______KT2" localSheetId="5">#REF!</definedName>
    <definedName name="______KT2" localSheetId="3">#REF!</definedName>
    <definedName name="______KT2" localSheetId="4">#REF!</definedName>
    <definedName name="______KT2">#REF!</definedName>
    <definedName name="______KT21" localSheetId="5">#REF!</definedName>
    <definedName name="______KT21" localSheetId="3">#REF!</definedName>
    <definedName name="______KT21" localSheetId="4">#REF!</definedName>
    <definedName name="______KT21">#REF!</definedName>
    <definedName name="______MM1" localSheetId="5">#REF!</definedName>
    <definedName name="______MM1" localSheetId="3">#REF!</definedName>
    <definedName name="______MM1" localSheetId="4">#REF!</definedName>
    <definedName name="______MM1">#REF!</definedName>
    <definedName name="______MMI1" localSheetId="5">#REF!</definedName>
    <definedName name="______MMI1" localSheetId="3">#REF!</definedName>
    <definedName name="______MMI1" localSheetId="4">#REF!</definedName>
    <definedName name="______MMI1">#REF!</definedName>
    <definedName name="______MMM1" localSheetId="5">#REF!</definedName>
    <definedName name="______MMM1" localSheetId="3">#REF!</definedName>
    <definedName name="______MMM1" localSheetId="4">#REF!</definedName>
    <definedName name="______MMM1">#REF!</definedName>
    <definedName name="______MMO1" localSheetId="5">#REF!</definedName>
    <definedName name="______MMO1" localSheetId="3">#REF!</definedName>
    <definedName name="______MMO1" localSheetId="4">#REF!</definedName>
    <definedName name="______MMO1">#REF!</definedName>
    <definedName name="______MMR1" localSheetId="5">#REF!</definedName>
    <definedName name="______MMR1" localSheetId="3">#REF!</definedName>
    <definedName name="______MMR1" localSheetId="4">#REF!</definedName>
    <definedName name="______MMR1">#REF!</definedName>
    <definedName name="______SSS2" localSheetId="5">#REF!</definedName>
    <definedName name="______SSS2" localSheetId="3">#REF!</definedName>
    <definedName name="______SSS2" localSheetId="4">#REF!</definedName>
    <definedName name="______SSS2">#REF!</definedName>
    <definedName name="______SSS21" localSheetId="5">#REF!</definedName>
    <definedName name="______SSS21" localSheetId="3">#REF!</definedName>
    <definedName name="______SSS21" localSheetId="4">#REF!</definedName>
    <definedName name="______SSS21">#REF!</definedName>
    <definedName name="______SSS3" localSheetId="5">#REF!</definedName>
    <definedName name="______SSS3" localSheetId="3">#REF!</definedName>
    <definedName name="______SSS3" localSheetId="4">#REF!</definedName>
    <definedName name="______SSS3">#REF!</definedName>
    <definedName name="______SSS31" localSheetId="5">#REF!</definedName>
    <definedName name="______SSS31" localSheetId="3">#REF!</definedName>
    <definedName name="______SSS31" localSheetId="4">#REF!</definedName>
    <definedName name="______SSS31">#REF!</definedName>
    <definedName name="_____Brv1" localSheetId="5">#REF!</definedName>
    <definedName name="_____Brv1" localSheetId="3">#REF!</definedName>
    <definedName name="_____Brv1" localSheetId="4">#REF!</definedName>
    <definedName name="_____Brv1">#REF!</definedName>
    <definedName name="_____Brv2" localSheetId="5">#REF!</definedName>
    <definedName name="_____Brv2" localSheetId="3">#REF!</definedName>
    <definedName name="_____Brv2" localSheetId="4">#REF!</definedName>
    <definedName name="_____Brv2">#REF!</definedName>
    <definedName name="_____Brv3" localSheetId="5">#REF!</definedName>
    <definedName name="_____Brv3" localSheetId="3">#REF!</definedName>
    <definedName name="_____Brv3" localSheetId="4">#REF!</definedName>
    <definedName name="_____Brv3">#REF!</definedName>
    <definedName name="_____Brv4" localSheetId="5">#REF!</definedName>
    <definedName name="_____Brv4" localSheetId="3">#REF!</definedName>
    <definedName name="_____Brv4" localSheetId="4">#REF!</definedName>
    <definedName name="_____Brv4">#REF!</definedName>
    <definedName name="_____Brv5" localSheetId="5">#REF!</definedName>
    <definedName name="_____Brv5" localSheetId="3">#REF!</definedName>
    <definedName name="_____Brv5" localSheetId="4">#REF!</definedName>
    <definedName name="_____Brv5">#REF!</definedName>
    <definedName name="_____Brv6" localSheetId="5">#REF!</definedName>
    <definedName name="_____Brv6" localSheetId="3">#REF!</definedName>
    <definedName name="_____Brv6" localSheetId="4">#REF!</definedName>
    <definedName name="_____Brv6">#REF!</definedName>
    <definedName name="_____KA1" localSheetId="5">#REF!</definedName>
    <definedName name="_____KA1" localSheetId="3">#REF!</definedName>
    <definedName name="_____KA1" localSheetId="4">#REF!</definedName>
    <definedName name="_____KA1">#REF!</definedName>
    <definedName name="_____KAS1" localSheetId="5">#REF!</definedName>
    <definedName name="_____KAS1" localSheetId="3">#REF!</definedName>
    <definedName name="_____KAS1" localSheetId="4">#REF!</definedName>
    <definedName name="_____KAS1">#REF!</definedName>
    <definedName name="_____KKA1" localSheetId="5">#REF!</definedName>
    <definedName name="_____KKA1" localSheetId="3">#REF!</definedName>
    <definedName name="_____KKA1" localSheetId="4">#REF!</definedName>
    <definedName name="_____KKA1">#REF!</definedName>
    <definedName name="_____KS1" localSheetId="5">#REF!</definedName>
    <definedName name="_____KS1" localSheetId="3">#REF!</definedName>
    <definedName name="_____KS1" localSheetId="4">#REF!</definedName>
    <definedName name="_____KS1">#REF!</definedName>
    <definedName name="_____KT2" localSheetId="5">#REF!</definedName>
    <definedName name="_____KT2" localSheetId="3">#REF!</definedName>
    <definedName name="_____KT2" localSheetId="4">#REF!</definedName>
    <definedName name="_____KT2">#REF!</definedName>
    <definedName name="_____KT21" localSheetId="5">#REF!</definedName>
    <definedName name="_____KT21" localSheetId="3">#REF!</definedName>
    <definedName name="_____KT21" localSheetId="4">#REF!</definedName>
    <definedName name="_____KT21">#REF!</definedName>
    <definedName name="_____MM1" localSheetId="5">#REF!</definedName>
    <definedName name="_____MM1" localSheetId="3">#REF!</definedName>
    <definedName name="_____MM1" localSheetId="4">#REF!</definedName>
    <definedName name="_____MM1">#REF!</definedName>
    <definedName name="_____MMI1" localSheetId="5">#REF!</definedName>
    <definedName name="_____MMI1" localSheetId="3">#REF!</definedName>
    <definedName name="_____MMI1" localSheetId="4">#REF!</definedName>
    <definedName name="_____MMI1">#REF!</definedName>
    <definedName name="_____MMM1" localSheetId="5">#REF!</definedName>
    <definedName name="_____MMM1" localSheetId="3">#REF!</definedName>
    <definedName name="_____MMM1" localSheetId="4">#REF!</definedName>
    <definedName name="_____MMM1">#REF!</definedName>
    <definedName name="_____MMO1" localSheetId="5">#REF!</definedName>
    <definedName name="_____MMO1" localSheetId="3">#REF!</definedName>
    <definedName name="_____MMO1" localSheetId="4">#REF!</definedName>
    <definedName name="_____MMO1">#REF!</definedName>
    <definedName name="_____MMR1" localSheetId="5">#REF!</definedName>
    <definedName name="_____MMR1" localSheetId="3">#REF!</definedName>
    <definedName name="_____MMR1" localSheetId="4">#REF!</definedName>
    <definedName name="_____MMR1">#REF!</definedName>
    <definedName name="_____SSS2" localSheetId="5">#REF!</definedName>
    <definedName name="_____SSS2" localSheetId="3">#REF!</definedName>
    <definedName name="_____SSS2" localSheetId="4">#REF!</definedName>
    <definedName name="_____SSS2">#REF!</definedName>
    <definedName name="_____SSS21" localSheetId="5">#REF!</definedName>
    <definedName name="_____SSS21" localSheetId="3">#REF!</definedName>
    <definedName name="_____SSS21" localSheetId="4">#REF!</definedName>
    <definedName name="_____SSS21">#REF!</definedName>
    <definedName name="_____SSS3" localSheetId="5">#REF!</definedName>
    <definedName name="_____SSS3" localSheetId="3">#REF!</definedName>
    <definedName name="_____SSS3" localSheetId="4">#REF!</definedName>
    <definedName name="_____SSS3">#REF!</definedName>
    <definedName name="_____SSS31" localSheetId="5">#REF!</definedName>
    <definedName name="_____SSS31" localSheetId="3">#REF!</definedName>
    <definedName name="_____SSS31" localSheetId="4">#REF!</definedName>
    <definedName name="_____SSS31">#REF!</definedName>
    <definedName name="____KA1" localSheetId="5">#REF!</definedName>
    <definedName name="____KA1" localSheetId="3">#REF!</definedName>
    <definedName name="____KA1" localSheetId="4">#REF!</definedName>
    <definedName name="____KA1">#REF!</definedName>
    <definedName name="____KAS1" localSheetId="5">#REF!</definedName>
    <definedName name="____KAS1" localSheetId="3">#REF!</definedName>
    <definedName name="____KAS1" localSheetId="4">#REF!</definedName>
    <definedName name="____KAS1">#REF!</definedName>
    <definedName name="____KKA1" localSheetId="5">#REF!</definedName>
    <definedName name="____KKA1" localSheetId="3">#REF!</definedName>
    <definedName name="____KKA1" localSheetId="4">#REF!</definedName>
    <definedName name="____KKA1">#REF!</definedName>
    <definedName name="____KS1" localSheetId="5">#REF!</definedName>
    <definedName name="____KS1" localSheetId="3">#REF!</definedName>
    <definedName name="____KS1" localSheetId="4">#REF!</definedName>
    <definedName name="____KS1">#REF!</definedName>
    <definedName name="____KT2" localSheetId="5">#REF!</definedName>
    <definedName name="____KT2" localSheetId="3">#REF!</definedName>
    <definedName name="____KT2" localSheetId="4">#REF!</definedName>
    <definedName name="____KT2">#REF!</definedName>
    <definedName name="____KT21" localSheetId="5">#REF!</definedName>
    <definedName name="____KT21" localSheetId="3">#REF!</definedName>
    <definedName name="____KT21" localSheetId="4">#REF!</definedName>
    <definedName name="____KT21">#REF!</definedName>
    <definedName name="____MM1" localSheetId="5">#REF!</definedName>
    <definedName name="____MM1" localSheetId="3">#REF!</definedName>
    <definedName name="____MM1" localSheetId="4">#REF!</definedName>
    <definedName name="____MM1">#REF!</definedName>
    <definedName name="____MMI1" localSheetId="5">#REF!</definedName>
    <definedName name="____MMI1" localSheetId="3">#REF!</definedName>
    <definedName name="____MMI1" localSheetId="4">#REF!</definedName>
    <definedName name="____MMI1">#REF!</definedName>
    <definedName name="____MMM1" localSheetId="5">#REF!</definedName>
    <definedName name="____MMM1" localSheetId="3">#REF!</definedName>
    <definedName name="____MMM1" localSheetId="4">#REF!</definedName>
    <definedName name="____MMM1">#REF!</definedName>
    <definedName name="____MMO1" localSheetId="5">#REF!</definedName>
    <definedName name="____MMO1" localSheetId="3">#REF!</definedName>
    <definedName name="____MMO1" localSheetId="4">#REF!</definedName>
    <definedName name="____MMO1">#REF!</definedName>
    <definedName name="____MMR1" localSheetId="5">#REF!</definedName>
    <definedName name="____MMR1" localSheetId="3">#REF!</definedName>
    <definedName name="____MMR1" localSheetId="4">#REF!</definedName>
    <definedName name="____MMR1">#REF!</definedName>
    <definedName name="____SSS2" localSheetId="5">#REF!</definedName>
    <definedName name="____SSS2" localSheetId="3">#REF!</definedName>
    <definedName name="____SSS2" localSheetId="4">#REF!</definedName>
    <definedName name="____SSS2">#REF!</definedName>
    <definedName name="____SSS21" localSheetId="5">#REF!</definedName>
    <definedName name="____SSS21" localSheetId="3">#REF!</definedName>
    <definedName name="____SSS21" localSheetId="4">#REF!</definedName>
    <definedName name="____SSS21">#REF!</definedName>
    <definedName name="____SSS3" localSheetId="5">#REF!</definedName>
    <definedName name="____SSS3" localSheetId="3">#REF!</definedName>
    <definedName name="____SSS3" localSheetId="4">#REF!</definedName>
    <definedName name="____SSS3">#REF!</definedName>
    <definedName name="____SSS31" localSheetId="5">#REF!</definedName>
    <definedName name="____SSS31" localSheetId="3">#REF!</definedName>
    <definedName name="____SSS31" localSheetId="4">#REF!</definedName>
    <definedName name="____SSS31">#REF!</definedName>
    <definedName name="___Brv1" localSheetId="5">#REF!</definedName>
    <definedName name="___Brv1" localSheetId="3">#REF!</definedName>
    <definedName name="___Brv1" localSheetId="4">#REF!</definedName>
    <definedName name="___Brv1">#REF!</definedName>
    <definedName name="___Brv2" localSheetId="5">#REF!</definedName>
    <definedName name="___Brv2" localSheetId="3">#REF!</definedName>
    <definedName name="___Brv2" localSheetId="4">#REF!</definedName>
    <definedName name="___Brv2">#REF!</definedName>
    <definedName name="___Brv3" localSheetId="5">#REF!</definedName>
    <definedName name="___Brv3" localSheetId="3">#REF!</definedName>
    <definedName name="___Brv3" localSheetId="4">#REF!</definedName>
    <definedName name="___Brv3">#REF!</definedName>
    <definedName name="___Brv4" localSheetId="5">#REF!</definedName>
    <definedName name="___Brv4" localSheetId="3">#REF!</definedName>
    <definedName name="___Brv4" localSheetId="4">#REF!</definedName>
    <definedName name="___Brv4">#REF!</definedName>
    <definedName name="___Brv5" localSheetId="5">#REF!</definedName>
    <definedName name="___Brv5" localSheetId="3">#REF!</definedName>
    <definedName name="___Brv5" localSheetId="4">#REF!</definedName>
    <definedName name="___Brv5">#REF!</definedName>
    <definedName name="___Brv6" localSheetId="5">#REF!</definedName>
    <definedName name="___Brv6" localSheetId="3">#REF!</definedName>
    <definedName name="___Brv6" localSheetId="4">#REF!</definedName>
    <definedName name="___Brv6">#REF!</definedName>
    <definedName name="___KA1" localSheetId="5">#REF!</definedName>
    <definedName name="___KA1" localSheetId="3">#REF!</definedName>
    <definedName name="___KA1" localSheetId="4">#REF!</definedName>
    <definedName name="___KA1">#REF!</definedName>
    <definedName name="___KAS1" localSheetId="5">#REF!</definedName>
    <definedName name="___KAS1" localSheetId="3">#REF!</definedName>
    <definedName name="___KAS1" localSheetId="4">#REF!</definedName>
    <definedName name="___KAS1">#REF!</definedName>
    <definedName name="___KKA1" localSheetId="5">#REF!</definedName>
    <definedName name="___KKA1" localSheetId="3">#REF!</definedName>
    <definedName name="___KKA1" localSheetId="4">#REF!</definedName>
    <definedName name="___KKA1">#REF!</definedName>
    <definedName name="___KS1" localSheetId="5">#REF!</definedName>
    <definedName name="___KS1" localSheetId="3">#REF!</definedName>
    <definedName name="___KS1" localSheetId="4">#REF!</definedName>
    <definedName name="___KS1">#REF!</definedName>
    <definedName name="___KT2" localSheetId="5">#REF!</definedName>
    <definedName name="___KT2" localSheetId="3">#REF!</definedName>
    <definedName name="___KT2" localSheetId="4">#REF!</definedName>
    <definedName name="___KT2">#REF!</definedName>
    <definedName name="___KT21" localSheetId="5">#REF!</definedName>
    <definedName name="___KT21" localSheetId="3">#REF!</definedName>
    <definedName name="___KT21" localSheetId="4">#REF!</definedName>
    <definedName name="___KT21">#REF!</definedName>
    <definedName name="___MM1" localSheetId="5">#REF!</definedName>
    <definedName name="___MM1" localSheetId="3">#REF!</definedName>
    <definedName name="___MM1" localSheetId="4">#REF!</definedName>
    <definedName name="___MM1">#REF!</definedName>
    <definedName name="___MMI1" localSheetId="5">#REF!</definedName>
    <definedName name="___MMI1" localSheetId="3">#REF!</definedName>
    <definedName name="___MMI1" localSheetId="4">#REF!</definedName>
    <definedName name="___MMI1">#REF!</definedName>
    <definedName name="___MMM1" localSheetId="5">#REF!</definedName>
    <definedName name="___MMM1" localSheetId="3">#REF!</definedName>
    <definedName name="___MMM1" localSheetId="4">#REF!</definedName>
    <definedName name="___MMM1">#REF!</definedName>
    <definedName name="___MMO1" localSheetId="5">#REF!</definedName>
    <definedName name="___MMO1" localSheetId="3">#REF!</definedName>
    <definedName name="___MMO1" localSheetId="4">#REF!</definedName>
    <definedName name="___MMO1">#REF!</definedName>
    <definedName name="___MMR1" localSheetId="5">#REF!</definedName>
    <definedName name="___MMR1" localSheetId="3">#REF!</definedName>
    <definedName name="___MMR1" localSheetId="4">#REF!</definedName>
    <definedName name="___MMR1">#REF!</definedName>
    <definedName name="___SSS2" localSheetId="5">#REF!</definedName>
    <definedName name="___SSS2" localSheetId="3">#REF!</definedName>
    <definedName name="___SSS2" localSheetId="4">#REF!</definedName>
    <definedName name="___SSS2">#REF!</definedName>
    <definedName name="___SSS21" localSheetId="5">#REF!</definedName>
    <definedName name="___SSS21" localSheetId="3">#REF!</definedName>
    <definedName name="___SSS21" localSheetId="4">#REF!</definedName>
    <definedName name="___SSS21">#REF!</definedName>
    <definedName name="___SSS3" localSheetId="5">#REF!</definedName>
    <definedName name="___SSS3" localSheetId="3">#REF!</definedName>
    <definedName name="___SSS3" localSheetId="4">#REF!</definedName>
    <definedName name="___SSS3">#REF!</definedName>
    <definedName name="___SSS31" localSheetId="5">#REF!</definedName>
    <definedName name="___SSS31" localSheetId="3">#REF!</definedName>
    <definedName name="___SSS31" localSheetId="4">#REF!</definedName>
    <definedName name="___SSS31">#REF!</definedName>
    <definedName name="__Brv1" localSheetId="5">#REF!</definedName>
    <definedName name="__Brv1" localSheetId="3">#REF!</definedName>
    <definedName name="__Brv1" localSheetId="4">#REF!</definedName>
    <definedName name="__Brv1">#REF!</definedName>
    <definedName name="__Brv2" localSheetId="5">#REF!</definedName>
    <definedName name="__Brv2" localSheetId="3">#REF!</definedName>
    <definedName name="__Brv2" localSheetId="4">#REF!</definedName>
    <definedName name="__Brv2">#REF!</definedName>
    <definedName name="__Brv3" localSheetId="5">#REF!</definedName>
    <definedName name="__Brv3" localSheetId="3">#REF!</definedName>
    <definedName name="__Brv3" localSheetId="4">#REF!</definedName>
    <definedName name="__Brv3">#REF!</definedName>
    <definedName name="__Brv4" localSheetId="5">#REF!</definedName>
    <definedName name="__Brv4" localSheetId="3">#REF!</definedName>
    <definedName name="__Brv4" localSheetId="4">#REF!</definedName>
    <definedName name="__Brv4">#REF!</definedName>
    <definedName name="__Brv5" localSheetId="5">#REF!</definedName>
    <definedName name="__Brv5" localSheetId="3">#REF!</definedName>
    <definedName name="__Brv5" localSheetId="4">#REF!</definedName>
    <definedName name="__Brv5">#REF!</definedName>
    <definedName name="__Brv6" localSheetId="5">#REF!</definedName>
    <definedName name="__Brv6" localSheetId="3">#REF!</definedName>
    <definedName name="__Brv6" localSheetId="4">#REF!</definedName>
    <definedName name="__Brv6">#REF!</definedName>
    <definedName name="__KA1" localSheetId="5">#REF!</definedName>
    <definedName name="__KA1" localSheetId="3">#REF!</definedName>
    <definedName name="__KA1" localSheetId="4">#REF!</definedName>
    <definedName name="__KA1">#REF!</definedName>
    <definedName name="__KAS1" localSheetId="5">#REF!</definedName>
    <definedName name="__KAS1" localSheetId="3">#REF!</definedName>
    <definedName name="__KAS1" localSheetId="4">#REF!</definedName>
    <definedName name="__KAS1">#REF!</definedName>
    <definedName name="__KKA1" localSheetId="5">#REF!</definedName>
    <definedName name="__KKA1" localSheetId="3">#REF!</definedName>
    <definedName name="__KKA1" localSheetId="4">#REF!</definedName>
    <definedName name="__KKA1">#REF!</definedName>
    <definedName name="__KS1" localSheetId="5">#REF!</definedName>
    <definedName name="__KS1" localSheetId="3">#REF!</definedName>
    <definedName name="__KS1" localSheetId="4">#REF!</definedName>
    <definedName name="__KS1">#REF!</definedName>
    <definedName name="__KT2" localSheetId="5">#REF!</definedName>
    <definedName name="__KT2" localSheetId="3">#REF!</definedName>
    <definedName name="__KT2" localSheetId="4">#REF!</definedName>
    <definedName name="__KT2">#REF!</definedName>
    <definedName name="__KT21" localSheetId="5">#REF!</definedName>
    <definedName name="__KT21" localSheetId="3">#REF!</definedName>
    <definedName name="__KT21" localSheetId="4">#REF!</definedName>
    <definedName name="__KT21">#REF!</definedName>
    <definedName name="__MM1" localSheetId="5">#REF!</definedName>
    <definedName name="__MM1" localSheetId="3">#REF!</definedName>
    <definedName name="__MM1" localSheetId="4">#REF!</definedName>
    <definedName name="__MM1">#REF!</definedName>
    <definedName name="__MMI1" localSheetId="5">#REF!</definedName>
    <definedName name="__MMI1" localSheetId="3">#REF!</definedName>
    <definedName name="__MMI1" localSheetId="4">#REF!</definedName>
    <definedName name="__MMI1">#REF!</definedName>
    <definedName name="__MMM1" localSheetId="5">#REF!</definedName>
    <definedName name="__MMM1" localSheetId="3">#REF!</definedName>
    <definedName name="__MMM1" localSheetId="4">#REF!</definedName>
    <definedName name="__MMM1">#REF!</definedName>
    <definedName name="__MMO1" localSheetId="5">#REF!</definedName>
    <definedName name="__MMO1" localSheetId="3">#REF!</definedName>
    <definedName name="__MMO1" localSheetId="4">#REF!</definedName>
    <definedName name="__MMO1">#REF!</definedName>
    <definedName name="__MMR1" localSheetId="5">#REF!</definedName>
    <definedName name="__MMR1" localSheetId="3">#REF!</definedName>
    <definedName name="__MMR1" localSheetId="4">#REF!</definedName>
    <definedName name="__MMR1">#REF!</definedName>
    <definedName name="__SSS2" localSheetId="5">#REF!</definedName>
    <definedName name="__SSS2" localSheetId="3">#REF!</definedName>
    <definedName name="__SSS2" localSheetId="4">#REF!</definedName>
    <definedName name="__SSS2">#REF!</definedName>
    <definedName name="__SSS21" localSheetId="5">#REF!</definedName>
    <definedName name="__SSS21" localSheetId="3">#REF!</definedName>
    <definedName name="__SSS21" localSheetId="4">#REF!</definedName>
    <definedName name="__SSS21">#REF!</definedName>
    <definedName name="__SSS3" localSheetId="5">#REF!</definedName>
    <definedName name="__SSS3" localSheetId="3">#REF!</definedName>
    <definedName name="__SSS3" localSheetId="4">#REF!</definedName>
    <definedName name="__SSS3">#REF!</definedName>
    <definedName name="__SSS31" localSheetId="5">#REF!</definedName>
    <definedName name="__SSS31" localSheetId="3">#REF!</definedName>
    <definedName name="__SSS31" localSheetId="4">#REF!</definedName>
    <definedName name="__SSS31">#REF!</definedName>
    <definedName name="_Brv1" localSheetId="5">#REF!</definedName>
    <definedName name="_Brv1" localSheetId="3">#REF!</definedName>
    <definedName name="_Brv1" localSheetId="4">#REF!</definedName>
    <definedName name="_Brv1">#REF!</definedName>
    <definedName name="_Brv2" localSheetId="5">#REF!</definedName>
    <definedName name="_Brv2" localSheetId="3">#REF!</definedName>
    <definedName name="_Brv2" localSheetId="4">#REF!</definedName>
    <definedName name="_Brv2">#REF!</definedName>
    <definedName name="_Brv3" localSheetId="5">#REF!</definedName>
    <definedName name="_Brv3" localSheetId="3">#REF!</definedName>
    <definedName name="_Brv3" localSheetId="4">#REF!</definedName>
    <definedName name="_Brv3">#REF!</definedName>
    <definedName name="_Brv4" localSheetId="5">#REF!</definedName>
    <definedName name="_Brv4" localSheetId="3">#REF!</definedName>
    <definedName name="_Brv4" localSheetId="4">#REF!</definedName>
    <definedName name="_Brv4">#REF!</definedName>
    <definedName name="_Brv5" localSheetId="5">#REF!</definedName>
    <definedName name="_Brv5" localSheetId="3">#REF!</definedName>
    <definedName name="_Brv5" localSheetId="4">#REF!</definedName>
    <definedName name="_Brv5">#REF!</definedName>
    <definedName name="_Brv6" localSheetId="5">#REF!</definedName>
    <definedName name="_Brv6" localSheetId="3">#REF!</definedName>
    <definedName name="_Brv6" localSheetId="4">#REF!</definedName>
    <definedName name="_Brv6">#REF!</definedName>
    <definedName name="_KA1" localSheetId="5">#REF!</definedName>
    <definedName name="_KA1" localSheetId="3">#REF!</definedName>
    <definedName name="_KA1" localSheetId="4">#REF!</definedName>
    <definedName name="_KA1">#REF!</definedName>
    <definedName name="_KAS1" localSheetId="5">#REF!</definedName>
    <definedName name="_KAS1" localSheetId="3">#REF!</definedName>
    <definedName name="_KAS1" localSheetId="4">#REF!</definedName>
    <definedName name="_KAS1">#REF!</definedName>
    <definedName name="_KKA1" localSheetId="5">#REF!</definedName>
    <definedName name="_KKA1" localSheetId="3">#REF!</definedName>
    <definedName name="_KKA1" localSheetId="4">#REF!</definedName>
    <definedName name="_KKA1">#REF!</definedName>
    <definedName name="_KS1" localSheetId="5">#REF!</definedName>
    <definedName name="_KS1" localSheetId="3">#REF!</definedName>
    <definedName name="_KS1" localSheetId="4">#REF!</definedName>
    <definedName name="_KS1">#REF!</definedName>
    <definedName name="_KT2" localSheetId="5">#REF!</definedName>
    <definedName name="_KT2" localSheetId="3">#REF!</definedName>
    <definedName name="_KT2" localSheetId="4">#REF!</definedName>
    <definedName name="_KT2">#REF!</definedName>
    <definedName name="_KT21" localSheetId="5">#REF!</definedName>
    <definedName name="_KT21" localSheetId="3">#REF!</definedName>
    <definedName name="_KT21" localSheetId="4">#REF!</definedName>
    <definedName name="_KT21">#REF!</definedName>
    <definedName name="_MM1" localSheetId="5">#REF!</definedName>
    <definedName name="_MM1" localSheetId="3">#REF!</definedName>
    <definedName name="_MM1" localSheetId="4">#REF!</definedName>
    <definedName name="_MM1">#REF!</definedName>
    <definedName name="_MMI1" localSheetId="5">#REF!</definedName>
    <definedName name="_MMI1" localSheetId="3">#REF!</definedName>
    <definedName name="_MMI1" localSheetId="4">#REF!</definedName>
    <definedName name="_MMI1">#REF!</definedName>
    <definedName name="_MMM1" localSheetId="5">#REF!</definedName>
    <definedName name="_MMM1" localSheetId="3">#REF!</definedName>
    <definedName name="_MMM1" localSheetId="4">#REF!</definedName>
    <definedName name="_MMM1">#REF!</definedName>
    <definedName name="_MMO1" localSheetId="5">#REF!</definedName>
    <definedName name="_MMO1" localSheetId="3">#REF!</definedName>
    <definedName name="_MMO1" localSheetId="4">#REF!</definedName>
    <definedName name="_MMO1">#REF!</definedName>
    <definedName name="_MMR1" localSheetId="5">#REF!</definedName>
    <definedName name="_MMR1" localSheetId="3">#REF!</definedName>
    <definedName name="_MMR1" localSheetId="4">#REF!</definedName>
    <definedName name="_MMR1">#REF!</definedName>
    <definedName name="_S2" localSheetId="5">#REF!</definedName>
    <definedName name="_S2" localSheetId="3">#REF!</definedName>
    <definedName name="_S2" localSheetId="4">#REF!</definedName>
    <definedName name="_S2">#REF!</definedName>
    <definedName name="_S21" localSheetId="5">#REF!</definedName>
    <definedName name="_S21" localSheetId="3">#REF!</definedName>
    <definedName name="_S21" localSheetId="4">#REF!</definedName>
    <definedName name="_S21">#REF!</definedName>
    <definedName name="_S3" localSheetId="5">#REF!</definedName>
    <definedName name="_S3" localSheetId="3">#REF!</definedName>
    <definedName name="_S3" localSheetId="4">#REF!</definedName>
    <definedName name="_S3">#REF!</definedName>
    <definedName name="_S31" localSheetId="5">#REF!</definedName>
    <definedName name="_S31" localSheetId="3">#REF!</definedName>
    <definedName name="_S31" localSheetId="4">#REF!</definedName>
    <definedName name="_S31">#REF!</definedName>
    <definedName name="_SSS2" localSheetId="5">#REF!</definedName>
    <definedName name="_SSS2" localSheetId="3">#REF!</definedName>
    <definedName name="_SSS2" localSheetId="4">#REF!</definedName>
    <definedName name="_SSS2">#REF!</definedName>
    <definedName name="_SSS21" localSheetId="5">#REF!</definedName>
    <definedName name="_SSS21" localSheetId="3">#REF!</definedName>
    <definedName name="_SSS21" localSheetId="4">#REF!</definedName>
    <definedName name="_SSS21">#REF!</definedName>
    <definedName name="_SSS3" localSheetId="5">#REF!</definedName>
    <definedName name="_SSS3" localSheetId="3">#REF!</definedName>
    <definedName name="_SSS3" localSheetId="4">#REF!</definedName>
    <definedName name="_SSS3">#REF!</definedName>
    <definedName name="_SSS31" localSheetId="5">#REF!</definedName>
    <definedName name="_SSS31" localSheetId="3">#REF!</definedName>
    <definedName name="_SSS31" localSheetId="4">#REF!</definedName>
    <definedName name="_SSS31">#REF!</definedName>
    <definedName name="\A" localSheetId="5">#REF!</definedName>
    <definedName name="\A" localSheetId="3">#REF!</definedName>
    <definedName name="\A" localSheetId="4">#REF!</definedName>
    <definedName name="\A">#REF!</definedName>
    <definedName name="\M" localSheetId="5">#REF!</definedName>
    <definedName name="\M" localSheetId="3">#REF!</definedName>
    <definedName name="\M" localSheetId="4">#REF!</definedName>
    <definedName name="\M">#REF!</definedName>
    <definedName name="\q" localSheetId="5">#REF!</definedName>
    <definedName name="\q" localSheetId="3">#REF!</definedName>
    <definedName name="\q" localSheetId="4">#REF!</definedName>
    <definedName name="\q">#REF!</definedName>
    <definedName name="\w" localSheetId="5">#REF!</definedName>
    <definedName name="\w" localSheetId="3">#REF!</definedName>
    <definedName name="\w" localSheetId="4">#REF!</definedName>
    <definedName name="\w">#REF!</definedName>
    <definedName name="AAA" localSheetId="5">#REF!</definedName>
    <definedName name="AAA" localSheetId="3">#REF!</definedName>
    <definedName name="AAA" localSheetId="4">#REF!</definedName>
    <definedName name="AAA">#REF!</definedName>
    <definedName name="AAO" localSheetId="5">#REF!</definedName>
    <definedName name="AAO" localSheetId="3">#REF!</definedName>
    <definedName name="AAO" localSheetId="4">#REF!</definedName>
    <definedName name="AAO">#REF!</definedName>
    <definedName name="ABC" localSheetId="5">#REF!</definedName>
    <definedName name="ABC" localSheetId="3">#REF!</definedName>
    <definedName name="ABC" localSheetId="4">#REF!</definedName>
    <definedName name="ABC">#REF!</definedName>
    <definedName name="ASW">#REF!</definedName>
    <definedName name="cb" localSheetId="5">#REF!</definedName>
    <definedName name="cb" localSheetId="3">#REF!</definedName>
    <definedName name="cb" localSheetId="4">#REF!</definedName>
    <definedName name="cb">#REF!</definedName>
    <definedName name="CCA" localSheetId="5">#REF!</definedName>
    <definedName name="CCA" localSheetId="3">#REF!</definedName>
    <definedName name="CCA" localSheetId="4">#REF!</definedName>
    <definedName name="CCA">#REF!</definedName>
    <definedName name="Col">#REF!</definedName>
    <definedName name="colh">#REF!</definedName>
    <definedName name="colh2">#REF!</definedName>
    <definedName name="Database2" localSheetId="5">#REF!</definedName>
    <definedName name="Database2" localSheetId="3">#REF!</definedName>
    <definedName name="Database2" localSheetId="4">#REF!</definedName>
    <definedName name="Database2">#REF!</definedName>
    <definedName name="DDO" localSheetId="5">#REF!</definedName>
    <definedName name="DDO" localSheetId="3">#REF!</definedName>
    <definedName name="DDO" localSheetId="4">#REF!</definedName>
    <definedName name="DDO">#REF!</definedName>
    <definedName name="FABA" localSheetId="5">#REF!</definedName>
    <definedName name="FABA" localSheetId="3">#REF!</definedName>
    <definedName name="FABA" localSheetId="4">#REF!</definedName>
    <definedName name="FABA">#REF!</definedName>
    <definedName name="FACA" localSheetId="5">#REF!</definedName>
    <definedName name="FACA" localSheetId="3">#REF!</definedName>
    <definedName name="FACA" localSheetId="4">#REF!</definedName>
    <definedName name="FACA">#REF!</definedName>
    <definedName name="FLM">#REF!</definedName>
    <definedName name="HAB" localSheetId="5">#REF!</definedName>
    <definedName name="HAB" localSheetId="3">#REF!</definedName>
    <definedName name="HAB" localSheetId="4">#REF!</definedName>
    <definedName name="HAB">#REF!</definedName>
    <definedName name="hashira" localSheetId="5">#REF!</definedName>
    <definedName name="hashira" localSheetId="3">#REF!</definedName>
    <definedName name="hashira" localSheetId="4">#REF!</definedName>
    <definedName name="hashira">#REF!</definedName>
    <definedName name="hisa" localSheetId="5">#REF!</definedName>
    <definedName name="hisa" localSheetId="3">#REF!</definedName>
    <definedName name="hisa" localSheetId="4">#REF!</definedName>
    <definedName name="hisa">#REF!</definedName>
    <definedName name="HZXB" localSheetId="5">#REF!</definedName>
    <definedName name="HZXB" localSheetId="3">#REF!</definedName>
    <definedName name="HZXB" localSheetId="4">#REF!</definedName>
    <definedName name="HZXB">#REF!</definedName>
    <definedName name="HZYA" localSheetId="5">#REF!</definedName>
    <definedName name="HZYA" localSheetId="3">#REF!</definedName>
    <definedName name="HZYA" localSheetId="4">#REF!</definedName>
    <definedName name="HZYA">#REF!</definedName>
    <definedName name="HZYB" localSheetId="5">#REF!</definedName>
    <definedName name="HZYB" localSheetId="3">#REF!</definedName>
    <definedName name="HZYB" localSheetId="4">#REF!</definedName>
    <definedName name="HZYB">#REF!</definedName>
    <definedName name="Is">#REF!</definedName>
    <definedName name="IXIY" localSheetId="5">#REF!</definedName>
    <definedName name="IXIY" localSheetId="3">#REF!</definedName>
    <definedName name="IXIY" localSheetId="4">#REF!</definedName>
    <definedName name="IXIY">#REF!</definedName>
    <definedName name="k" localSheetId="5">#REF!</definedName>
    <definedName name="k" localSheetId="3">#REF!</definedName>
    <definedName name="k" localSheetId="4">#REF!</definedName>
    <definedName name="k">#REF!</definedName>
    <definedName name="kabe" localSheetId="5">#REF!</definedName>
    <definedName name="kabe" localSheetId="3">#REF!</definedName>
    <definedName name="kabe" localSheetId="4">#REF!</definedName>
    <definedName name="kabe">#REF!</definedName>
    <definedName name="kabe2" localSheetId="5">#REF!</definedName>
    <definedName name="kabe2" localSheetId="3">#REF!</definedName>
    <definedName name="kabe2" localSheetId="4">#REF!</definedName>
    <definedName name="kabe2">#REF!</definedName>
    <definedName name="kabecb">#REF!</definedName>
    <definedName name="KAS" localSheetId="5">#REF!</definedName>
    <definedName name="KAS" localSheetId="3">#REF!</definedName>
    <definedName name="KAS" localSheetId="4">#REF!</definedName>
    <definedName name="KAS">#REF!</definedName>
    <definedName name="KKA" localSheetId="5">#REF!</definedName>
    <definedName name="KKA" localSheetId="3">#REF!</definedName>
    <definedName name="KKA" localSheetId="4">#REF!</definedName>
    <definedName name="KKA">#REF!</definedName>
    <definedName name="KS" localSheetId="5">#REF!</definedName>
    <definedName name="KS" localSheetId="3">#REF!</definedName>
    <definedName name="KS" localSheetId="4">#REF!</definedName>
    <definedName name="KS">#REF!</definedName>
    <definedName name="ｌ" localSheetId="5">#REF!</definedName>
    <definedName name="ｌ" localSheetId="3">#REF!</definedName>
    <definedName name="ｌ" localSheetId="4">#REF!</definedName>
    <definedName name="ｌ">#REF!</definedName>
    <definedName name="llmin" localSheetId="5">#REF!</definedName>
    <definedName name="llmin" localSheetId="3">#REF!</definedName>
    <definedName name="llmin" localSheetId="4">#REF!</definedName>
    <definedName name="llmin">#REF!</definedName>
    <definedName name="MM" localSheetId="5">#REF!</definedName>
    <definedName name="MM" localSheetId="3">#REF!</definedName>
    <definedName name="MM" localSheetId="4">#REF!</definedName>
    <definedName name="MM">#REF!</definedName>
    <definedName name="MM0" localSheetId="5">#REF!</definedName>
    <definedName name="MM0" localSheetId="3">#REF!</definedName>
    <definedName name="MM0" localSheetId="4">#REF!</definedName>
    <definedName name="MM0">#REF!</definedName>
    <definedName name="MMM" localSheetId="5">#REF!</definedName>
    <definedName name="MMM" localSheetId="3">#REF!</definedName>
    <definedName name="MMM" localSheetId="4">#REF!</definedName>
    <definedName name="MMM">#REF!</definedName>
    <definedName name="MMO" localSheetId="5">#REF!</definedName>
    <definedName name="MMO" localSheetId="3">#REF!</definedName>
    <definedName name="MMO" localSheetId="4">#REF!</definedName>
    <definedName name="MMO">#REF!</definedName>
    <definedName name="MMR" localSheetId="5">#REF!</definedName>
    <definedName name="MMR" localSheetId="3">#REF!</definedName>
    <definedName name="MMR" localSheetId="4">#REF!</definedName>
    <definedName name="MMR">#REF!</definedName>
    <definedName name="MMRR" localSheetId="5">#REF!</definedName>
    <definedName name="MMRR" localSheetId="3">#REF!</definedName>
    <definedName name="MMRR" localSheetId="4">#REF!</definedName>
    <definedName name="MMRR">#REF!</definedName>
    <definedName name="MMRR1" localSheetId="5">#REF!</definedName>
    <definedName name="MMRR1" localSheetId="3">#REF!</definedName>
    <definedName name="MMRR1" localSheetId="4">#REF!</definedName>
    <definedName name="MMRR1">#REF!</definedName>
    <definedName name="MMRR16" localSheetId="5">#REF!</definedName>
    <definedName name="MMRR16" localSheetId="3">#REF!</definedName>
    <definedName name="MMRR16" localSheetId="4">#REF!</definedName>
    <definedName name="MMRR16">#REF!</definedName>
    <definedName name="MMRR17" localSheetId="5">#REF!</definedName>
    <definedName name="MMRR17" localSheetId="3">#REF!</definedName>
    <definedName name="MMRR17" localSheetId="4">#REF!</definedName>
    <definedName name="MMRR17">#REF!</definedName>
    <definedName name="MMRR7" localSheetId="5">#REF!</definedName>
    <definedName name="MMRR7" localSheetId="3">#REF!</definedName>
    <definedName name="MMRR7" localSheetId="4">#REF!</definedName>
    <definedName name="MMRR7">#REF!</definedName>
    <definedName name="MMRRS" localSheetId="5">#REF!</definedName>
    <definedName name="MMRRS" localSheetId="3">#REF!</definedName>
    <definedName name="MMRRS" localSheetId="4">#REF!</definedName>
    <definedName name="MMRRS">#REF!</definedName>
    <definedName name="MMRRS1" localSheetId="5">#REF!</definedName>
    <definedName name="MMRRS1" localSheetId="3">#REF!</definedName>
    <definedName name="MMRRS1" localSheetId="4">#REF!</definedName>
    <definedName name="MMRRS1">#REF!</definedName>
    <definedName name="NORM表">#REF!</definedName>
    <definedName name="ooo" localSheetId="5">#REF!</definedName>
    <definedName name="ooo" localSheetId="3">#REF!</definedName>
    <definedName name="ooo" localSheetId="4">#REF!</definedName>
    <definedName name="ooo">#REF!</definedName>
    <definedName name="_xlnm.Print_Area" localSheetId="1">Design!$A$1:$K$143</definedName>
    <definedName name="_xlnm.Print_Area" localSheetId="2">List!$A$1:$S$21</definedName>
    <definedName name="_xlnm.Print_Area" localSheetId="5">pipe!$A$1:$J$60</definedName>
    <definedName name="_xlnm.Print_Area" localSheetId="0">Readme!$A$1:$I$134</definedName>
    <definedName name="_xlnm.Print_Area" localSheetId="3">shs!$A$1:$J$180</definedName>
    <definedName name="_xlnm.Print_Area" localSheetId="4">wf!$A$1:$J$60</definedName>
    <definedName name="_xlnm.Print_Area">#REF!</definedName>
    <definedName name="q">#REF!</definedName>
    <definedName name="RENSYU" localSheetId="5">#REF!</definedName>
    <definedName name="RENSYU" localSheetId="3">#REF!</definedName>
    <definedName name="RENSYU" localSheetId="4">#REF!</definedName>
    <definedName name="RENSYU">#REF!</definedName>
    <definedName name="RZXB" localSheetId="5">#REF!</definedName>
    <definedName name="RZXB" localSheetId="3">#REF!</definedName>
    <definedName name="RZXB" localSheetId="4">#REF!</definedName>
    <definedName name="RZXB">#REF!</definedName>
    <definedName name="sannkou" localSheetId="1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sannkou" localSheetId="5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sannkou" localSheetId="3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sannkou" localSheetId="4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sannkou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STEEL" localSheetId="5">#REF!</definedName>
    <definedName name="STEEL" localSheetId="3">#REF!</definedName>
    <definedName name="STEEL" localSheetId="4">#REF!</definedName>
    <definedName name="STEEL">#REF!</definedName>
    <definedName name="u" localSheetId="5">#REF!</definedName>
    <definedName name="u" localSheetId="3">#REF!</definedName>
    <definedName name="u" localSheetId="4">#REF!</definedName>
    <definedName name="u">#REF!</definedName>
    <definedName name="ukabe" localSheetId="5">#REF!</definedName>
    <definedName name="ukabe" localSheetId="3">#REF!</definedName>
    <definedName name="ukabe" localSheetId="4">#REF!</definedName>
    <definedName name="ukabe">#REF!</definedName>
    <definedName name="wrn.耐震診断報告書." localSheetId="1" hidden="1">{"表紙・目次",#N/A,FALSE,"表紙・目次";"はじめ",#N/A,FALSE,"建物概要";"図番",#N/A,FALSE,"図番";"方針３",#N/A,FALSE,"方針";"ＳD表",#N/A,FALSE,"ＳD 表";"Ｔ表",#N/A,FALSE,"Ｔ　表";"結果",#N/A,FALSE,"結果";"参考",#N/A,FALSE,"参考"}</definedName>
    <definedName name="wrn.耐震診断報告書." localSheetId="5" hidden="1">{"表紙・目次",#N/A,FALSE,"表紙・目次";"はじめ",#N/A,FALSE,"建物概要";"図番",#N/A,FALSE,"図番";"方針３",#N/A,FALSE,"方針";"ＳD表",#N/A,FALSE,"ＳD 表";"Ｔ表",#N/A,FALSE,"Ｔ　表";"結果",#N/A,FALSE,"結果";"参考",#N/A,FALSE,"参考"}</definedName>
    <definedName name="wrn.耐震診断報告書." localSheetId="3" hidden="1">{"表紙・目次",#N/A,FALSE,"表紙・目次";"はじめ",#N/A,FALSE,"建物概要";"図番",#N/A,FALSE,"図番";"方針３",#N/A,FALSE,"方針";"ＳD表",#N/A,FALSE,"ＳD 表";"Ｔ表",#N/A,FALSE,"Ｔ　表";"結果",#N/A,FALSE,"結果";"参考",#N/A,FALSE,"参考"}</definedName>
    <definedName name="wrn.耐震診断報告書." localSheetId="4" hidden="1">{"表紙・目次",#N/A,FALSE,"表紙・目次";"はじめ",#N/A,FALSE,"建物概要";"図番",#N/A,FALSE,"図番";"方針３",#N/A,FALSE,"方針";"ＳD表",#N/A,FALSE,"ＳD 表";"Ｔ表",#N/A,FALSE,"Ｔ　表";"結果",#N/A,FALSE,"結果";"参考",#N/A,FALSE,"参考"}</definedName>
    <definedName name="wrn.耐震診断報告書." hidden="1">{"表紙・目次",#N/A,FALSE,"表紙・目次";"はじめ",#N/A,FALSE,"建物概要";"図番",#N/A,FALSE,"図番";"方針３",#N/A,FALSE,"方針";"ＳD表",#N/A,FALSE,"ＳD 表";"Ｔ表",#N/A,FALSE,"Ｔ　表";"結果",#N/A,FALSE,"結果";"参考",#N/A,FALSE,"参考"}</definedName>
    <definedName name="wrn.帳票出力." localSheetId="1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wrn.帳票出力." localSheetId="5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wrn.帳票出力." localSheetId="3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wrn.帳票出力." localSheetId="4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wrn.帳票出力.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yane" localSheetId="5">#REF!</definedName>
    <definedName name="yane" localSheetId="3">#REF!</definedName>
    <definedName name="yane" localSheetId="4">#REF!</definedName>
    <definedName name="yane">#REF!</definedName>
    <definedName name="yane2" localSheetId="5">#REF!</definedName>
    <definedName name="yane2" localSheetId="3">#REF!</definedName>
    <definedName name="yane2" localSheetId="4">#REF!</definedName>
    <definedName name="yane2">#REF!</definedName>
    <definedName name="yane3" localSheetId="5">#REF!</definedName>
    <definedName name="yane3" localSheetId="3">#REF!</definedName>
    <definedName name="yane3" localSheetId="4">#REF!</definedName>
    <definedName name="yane3">#REF!</definedName>
    <definedName name="yane4" localSheetId="5">#REF!</definedName>
    <definedName name="yane4" localSheetId="3">#REF!</definedName>
    <definedName name="yane4" localSheetId="4">#REF!</definedName>
    <definedName name="yane4">#REF!</definedName>
    <definedName name="yaneh">#REF!</definedName>
    <definedName name="yanw">#REF!</definedName>
    <definedName name="yuka" localSheetId="5">#REF!</definedName>
    <definedName name="yuka" localSheetId="3">#REF!</definedName>
    <definedName name="yuka" localSheetId="4">#REF!</definedName>
    <definedName name="yuka">#REF!</definedName>
    <definedName name="yukaeq" localSheetId="5">#REF!</definedName>
    <definedName name="yukaeq" localSheetId="3">#REF!</definedName>
    <definedName name="yukaeq" localSheetId="4">#REF!</definedName>
    <definedName name="yukaeq">#REF!</definedName>
    <definedName name="φ" localSheetId="5">#REF!</definedName>
    <definedName name="φ" localSheetId="3">#REF!</definedName>
    <definedName name="φ" localSheetId="4">#REF!</definedName>
    <definedName name="φ">#REF!</definedName>
    <definedName name="あ" localSheetId="1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あ" localSheetId="5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あ" localSheetId="3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あ" localSheetId="4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あ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化学" localSheetId="5">#REF!</definedName>
    <definedName name="化学" localSheetId="3">#REF!</definedName>
    <definedName name="化学" localSheetId="4">#REF!</definedName>
    <definedName name="化学">#REF!</definedName>
    <definedName name="形経" localSheetId="5">#REF!</definedName>
    <definedName name="形経" localSheetId="3">#REF!</definedName>
    <definedName name="形経" localSheetId="4">#REF!</definedName>
    <definedName name="形経">#REF!</definedName>
    <definedName name="個材耐力" localSheetId="1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" localSheetId="5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" localSheetId="3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" localSheetId="4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１階" localSheetId="1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１階" localSheetId="5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１階" localSheetId="3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１階" localSheetId="4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個材耐力１階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参考" localSheetId="1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参考" localSheetId="5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参考" localSheetId="3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参考" localSheetId="4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参考" hidden="1">{#N/A,#N/A,FALSE,"表紙";#N/A,#N/A,FALSE,"E0-1階X";#N/A,#N/A,FALSE,"E0-1階Y";#N/A,#N/A,FALSE,"E0-2階X";#N/A,#N/A,FALSE,"E0-2階Y";#N/A,#N/A,FALSE,"E0-3階X";#N/A,#N/A,FALSE,"E0-3階Y";#N/A,#N/A,FALSE,"E0-4階X";#N/A,#N/A,FALSE,"E0-4階Y";#N/A,#N/A,FALSE,"保有性能";#N/A,#N/A,FALSE,"形状指標";#N/A,#N/A,FALSE,"結果"}</definedName>
    <definedName name="商品マスター" localSheetId="5">#REF!</definedName>
    <definedName name="商品マスター" localSheetId="3">#REF!</definedName>
    <definedName name="商品マスター" localSheetId="4">#REF!</definedName>
    <definedName name="商品マスター">#REF!</definedName>
    <definedName name="数学" localSheetId="5">#REF!</definedName>
    <definedName name="数学" localSheetId="3">#REF!</definedName>
    <definedName name="数学" localSheetId="4">#REF!</definedName>
    <definedName name="数学">#REF!</definedName>
    <definedName name="成績結果" localSheetId="5">#REF!</definedName>
    <definedName name="成績結果" localSheetId="3">#REF!</definedName>
    <definedName name="成績結果" localSheetId="4">#REF!</definedName>
    <definedName name="成績結果">#REF!</definedName>
    <definedName name="成績結果１" localSheetId="5">#REF!</definedName>
    <definedName name="成績結果１" localSheetId="3">#REF!</definedName>
    <definedName name="成績結果１" localSheetId="4">#REF!</definedName>
    <definedName name="成績結果１">#REF!</definedName>
    <definedName name="成績結果２" localSheetId="5">#REF!</definedName>
    <definedName name="成績結果２" localSheetId="3">#REF!</definedName>
    <definedName name="成績結果２" localSheetId="4">#REF!</definedName>
    <definedName name="成績結果２">#REF!</definedName>
    <definedName name="成績結果３" localSheetId="5">#REF!</definedName>
    <definedName name="成績結果３" localSheetId="3">#REF!</definedName>
    <definedName name="成績結果３" localSheetId="4">#REF!</definedName>
    <definedName name="成績結果３">#REF!</definedName>
    <definedName name="総合得点" localSheetId="5">#REF!</definedName>
    <definedName name="総合得点" localSheetId="3">#REF!</definedName>
    <definedName name="総合得点" localSheetId="4">#REF!</definedName>
    <definedName name="総合得点">#REF!</definedName>
    <definedName name="耐力１" localSheetId="5">#REF!</definedName>
    <definedName name="耐力１" localSheetId="3">#REF!</definedName>
    <definedName name="耐力１" localSheetId="4">#REF!</definedName>
    <definedName name="耐力１">#REF!</definedName>
    <definedName name="物理" localSheetId="5">#REF!</definedName>
    <definedName name="物理" localSheetId="3">#REF!</definedName>
    <definedName name="物理" localSheetId="4">#REF!</definedName>
    <definedName name="物理">#REF!</definedName>
  </definedNames>
  <calcPr calcId="181029"/>
</workbook>
</file>

<file path=xl/calcChain.xml><?xml version="1.0" encoding="utf-8"?>
<calcChain xmlns="http://schemas.openxmlformats.org/spreadsheetml/2006/main">
  <c r="B59" i="113" l="1"/>
  <c r="B59" i="112"/>
  <c r="B59" i="108"/>
  <c r="B89" i="108"/>
  <c r="B119" i="108"/>
  <c r="B149" i="108"/>
  <c r="S96" i="108"/>
  <c r="S126" i="108"/>
  <c r="S66" i="108"/>
  <c r="S36" i="108"/>
  <c r="B54" i="113"/>
  <c r="S36" i="113"/>
  <c r="S36" i="112" l="1"/>
  <c r="V56" i="112" s="1"/>
  <c r="U55" i="112" s="1"/>
  <c r="Q57" i="112" s="1"/>
  <c r="N57" i="112"/>
  <c r="B54" i="112"/>
  <c r="A54" i="112"/>
  <c r="N59" i="112"/>
  <c r="Y56" i="112"/>
  <c r="W56" i="112"/>
  <c r="N56" i="112"/>
  <c r="M55" i="112"/>
  <c r="Q55" i="112" s="1"/>
  <c r="N57" i="113"/>
  <c r="A54" i="113"/>
  <c r="A144" i="108"/>
  <c r="A54" i="108"/>
  <c r="B37" i="113"/>
  <c r="A84" i="108"/>
  <c r="A114" i="108"/>
  <c r="K38" i="113"/>
  <c r="E52" i="112"/>
  <c r="K38" i="112"/>
  <c r="B37" i="112"/>
  <c r="N149" i="108"/>
  <c r="W148" i="108"/>
  <c r="O150" i="108" s="1"/>
  <c r="N147" i="108"/>
  <c r="M146" i="108"/>
  <c r="U145" i="108"/>
  <c r="Q147" i="108" s="1"/>
  <c r="M145" i="108"/>
  <c r="Q145" i="108" s="1"/>
  <c r="B145" i="108" s="1"/>
  <c r="B144" i="108"/>
  <c r="AD143" i="108"/>
  <c r="R143" i="108"/>
  <c r="Q143" i="108"/>
  <c r="AE142" i="108"/>
  <c r="E142" i="108"/>
  <c r="Q140" i="108"/>
  <c r="K140" i="108"/>
  <c r="C140" i="108"/>
  <c r="L138" i="108"/>
  <c r="Y137" i="108"/>
  <c r="X137" i="108"/>
  <c r="Q137" i="108"/>
  <c r="K137" i="108"/>
  <c r="P137" i="108" s="1"/>
  <c r="P134" i="108"/>
  <c r="O134" i="108"/>
  <c r="D135" i="108" s="1"/>
  <c r="S129" i="108"/>
  <c r="C133" i="108" s="1"/>
  <c r="R129" i="108"/>
  <c r="C132" i="108" s="1"/>
  <c r="G132" i="108" s="1"/>
  <c r="H132" i="108" s="1"/>
  <c r="Q129" i="108"/>
  <c r="C131" i="108" s="1"/>
  <c r="P129" i="108"/>
  <c r="E130" i="108" s="1"/>
  <c r="O129" i="108"/>
  <c r="E129" i="108" s="1"/>
  <c r="M129" i="108"/>
  <c r="C128" i="108" s="1"/>
  <c r="K128" i="108"/>
  <c r="T127" i="108"/>
  <c r="R148" i="108" s="1"/>
  <c r="L149" i="108" s="1"/>
  <c r="B127" i="108"/>
  <c r="O126" i="108"/>
  <c r="V125" i="108"/>
  <c r="B125" i="108" s="1"/>
  <c r="U125" i="108"/>
  <c r="O124" i="108"/>
  <c r="A121" i="108"/>
  <c r="O94" i="108"/>
  <c r="N119" i="108"/>
  <c r="W118" i="108"/>
  <c r="O120" i="108" s="1"/>
  <c r="N117" i="108"/>
  <c r="B117" i="108"/>
  <c r="M116" i="108"/>
  <c r="B116" i="108"/>
  <c r="U115" i="108"/>
  <c r="Q117" i="108" s="1"/>
  <c r="M115" i="108"/>
  <c r="Q115" i="108" s="1"/>
  <c r="B115" i="108"/>
  <c r="B114" i="108"/>
  <c r="AD113" i="108"/>
  <c r="R113" i="108"/>
  <c r="Q113" i="108"/>
  <c r="AE112" i="108"/>
  <c r="E112" i="108"/>
  <c r="Q110" i="108"/>
  <c r="K110" i="108"/>
  <c r="C110" i="108"/>
  <c r="L108" i="108"/>
  <c r="Y107" i="108"/>
  <c r="X107" i="108"/>
  <c r="Q107" i="108"/>
  <c r="K107" i="108"/>
  <c r="P107" i="108" s="1"/>
  <c r="P104" i="108"/>
  <c r="O104" i="108"/>
  <c r="D105" i="108" s="1"/>
  <c r="S99" i="108"/>
  <c r="C103" i="108" s="1"/>
  <c r="R99" i="108"/>
  <c r="C102" i="108" s="1"/>
  <c r="Q99" i="108"/>
  <c r="C101" i="108" s="1"/>
  <c r="P99" i="108"/>
  <c r="E100" i="108" s="1"/>
  <c r="O99" i="108"/>
  <c r="E99" i="108" s="1"/>
  <c r="M99" i="108"/>
  <c r="C98" i="108" s="1"/>
  <c r="K98" i="108"/>
  <c r="T97" i="108"/>
  <c r="R118" i="108" s="1"/>
  <c r="B97" i="108"/>
  <c r="O96" i="108"/>
  <c r="F96" i="108"/>
  <c r="V95" i="108"/>
  <c r="B95" i="108" s="1"/>
  <c r="U95" i="108"/>
  <c r="F95" i="108"/>
  <c r="A91" i="108"/>
  <c r="N89" i="108"/>
  <c r="W88" i="108"/>
  <c r="O90" i="108" s="1"/>
  <c r="N87" i="108"/>
  <c r="B87" i="108"/>
  <c r="M86" i="108"/>
  <c r="B86" i="108"/>
  <c r="U85" i="108"/>
  <c r="Q87" i="108" s="1"/>
  <c r="M85" i="108"/>
  <c r="Q85" i="108" s="1"/>
  <c r="B85" i="108"/>
  <c r="B84" i="108"/>
  <c r="AD83" i="108"/>
  <c r="R83" i="108"/>
  <c r="Q83" i="108"/>
  <c r="AE82" i="108"/>
  <c r="E82" i="108"/>
  <c r="Q80" i="108"/>
  <c r="K80" i="108"/>
  <c r="C80" i="108"/>
  <c r="L78" i="108"/>
  <c r="Y77" i="108"/>
  <c r="X77" i="108"/>
  <c r="Q77" i="108"/>
  <c r="K77" i="108"/>
  <c r="P77" i="108" s="1"/>
  <c r="P74" i="108"/>
  <c r="O74" i="108"/>
  <c r="AA77" i="108" s="1"/>
  <c r="R69" i="108"/>
  <c r="C72" i="108" s="1"/>
  <c r="Q69" i="108"/>
  <c r="C71" i="108" s="1"/>
  <c r="P69" i="108"/>
  <c r="E70" i="108" s="1"/>
  <c r="O69" i="108"/>
  <c r="E69" i="108" s="1"/>
  <c r="M69" i="108"/>
  <c r="C68" i="108" s="1"/>
  <c r="K68" i="108"/>
  <c r="T67" i="108"/>
  <c r="R88" i="108" s="1"/>
  <c r="B67" i="108"/>
  <c r="O66" i="108"/>
  <c r="F66" i="108"/>
  <c r="V65" i="108"/>
  <c r="B65" i="108" s="1"/>
  <c r="U65" i="108"/>
  <c r="F65" i="108"/>
  <c r="O64" i="108"/>
  <c r="A61" i="108"/>
  <c r="X56" i="112" l="1"/>
  <c r="K56" i="112" s="1"/>
  <c r="M140" i="108"/>
  <c r="AA137" i="108"/>
  <c r="P127" i="108"/>
  <c r="W58" i="112"/>
  <c r="O60" i="112" s="1"/>
  <c r="B55" i="112"/>
  <c r="O56" i="112"/>
  <c r="P57" i="112"/>
  <c r="S143" i="108"/>
  <c r="D75" i="108"/>
  <c r="G101" i="108"/>
  <c r="H101" i="108" s="1"/>
  <c r="M80" i="108"/>
  <c r="L129" i="108"/>
  <c r="C129" i="108" s="1"/>
  <c r="M124" i="108" s="1"/>
  <c r="P97" i="108"/>
  <c r="O76" i="108"/>
  <c r="C76" i="108" s="1"/>
  <c r="M131" i="108"/>
  <c r="M132" i="108"/>
  <c r="O132" i="108" s="1"/>
  <c r="C134" i="108"/>
  <c r="G133" i="108"/>
  <c r="H133" i="108" s="1"/>
  <c r="O136" i="108"/>
  <c r="G131" i="108"/>
  <c r="H131" i="108" s="1"/>
  <c r="C136" i="108"/>
  <c r="O146" i="108"/>
  <c r="P146" i="108" s="1"/>
  <c r="P147" i="108"/>
  <c r="R147" i="108" s="1"/>
  <c r="O131" i="108"/>
  <c r="F128" i="108" s="1"/>
  <c r="N146" i="108"/>
  <c r="L123" i="108"/>
  <c r="F134" i="108"/>
  <c r="T148" i="108"/>
  <c r="M149" i="108" s="1"/>
  <c r="P149" i="108" s="1"/>
  <c r="M150" i="108" s="1"/>
  <c r="P150" i="108" s="1"/>
  <c r="S83" i="108"/>
  <c r="AA107" i="108"/>
  <c r="M110" i="108"/>
  <c r="S113" i="108"/>
  <c r="P67" i="108"/>
  <c r="L63" i="108"/>
  <c r="AA82" i="108" s="1"/>
  <c r="L69" i="108"/>
  <c r="C69" i="108" s="1"/>
  <c r="M64" i="108" s="1"/>
  <c r="L99" i="108"/>
  <c r="C99" i="108" s="1"/>
  <c r="M94" i="108" s="1"/>
  <c r="C104" i="108"/>
  <c r="G103" i="108"/>
  <c r="H103" i="108" s="1"/>
  <c r="L119" i="108"/>
  <c r="T118" i="108"/>
  <c r="M119" i="108" s="1"/>
  <c r="O116" i="108"/>
  <c r="P116" i="108" s="1"/>
  <c r="P117" i="108"/>
  <c r="R117" i="108" s="1"/>
  <c r="M102" i="108"/>
  <c r="M101" i="108"/>
  <c r="G102" i="108"/>
  <c r="H102" i="108" s="1"/>
  <c r="F104" i="108"/>
  <c r="L93" i="108"/>
  <c r="N116" i="108"/>
  <c r="O106" i="108"/>
  <c r="C106" i="108" s="1"/>
  <c r="M72" i="108"/>
  <c r="M71" i="108"/>
  <c r="O86" i="108"/>
  <c r="P86" i="108" s="1"/>
  <c r="P87" i="108"/>
  <c r="R87" i="108" s="1"/>
  <c r="L89" i="108"/>
  <c r="T88" i="108"/>
  <c r="M89" i="108" s="1"/>
  <c r="G72" i="108"/>
  <c r="H72" i="108" s="1"/>
  <c r="G71" i="108"/>
  <c r="H71" i="108" s="1"/>
  <c r="N86" i="108"/>
  <c r="L64" i="108"/>
  <c r="N57" i="108"/>
  <c r="M56" i="108"/>
  <c r="N56" i="108" s="1"/>
  <c r="B54" i="108"/>
  <c r="K38" i="108"/>
  <c r="B37" i="108" s="1"/>
  <c r="S78" i="108" l="1"/>
  <c r="R77" i="108"/>
  <c r="P56" i="112"/>
  <c r="R57" i="112"/>
  <c r="F129" i="108"/>
  <c r="L150" i="108"/>
  <c r="Q150" i="108" s="1"/>
  <c r="R137" i="108"/>
  <c r="S138" i="108"/>
  <c r="AA142" i="108"/>
  <c r="L124" i="108"/>
  <c r="P89" i="108"/>
  <c r="M90" i="108" s="1"/>
  <c r="P90" i="108" s="1"/>
  <c r="R64" i="108"/>
  <c r="L80" i="108" s="1"/>
  <c r="P119" i="108"/>
  <c r="M120" i="108" s="1"/>
  <c r="P120" i="108" s="1"/>
  <c r="L120" i="108"/>
  <c r="O102" i="108"/>
  <c r="F99" i="108" s="1"/>
  <c r="AA112" i="108"/>
  <c r="L94" i="108"/>
  <c r="R107" i="108"/>
  <c r="S108" i="108"/>
  <c r="O101" i="108"/>
  <c r="F98" i="108" s="1"/>
  <c r="O72" i="108"/>
  <c r="F69" i="108" s="1"/>
  <c r="L90" i="108"/>
  <c r="O71" i="108"/>
  <c r="F68" i="108" s="1"/>
  <c r="M66" i="108"/>
  <c r="Q66" i="108" s="1"/>
  <c r="R67" i="108" s="1"/>
  <c r="Q39" i="113"/>
  <c r="R39" i="113"/>
  <c r="S39" i="113"/>
  <c r="L60" i="112" l="1"/>
  <c r="Z142" i="108"/>
  <c r="Z143" i="108"/>
  <c r="M126" i="108"/>
  <c r="Q126" i="108" s="1"/>
  <c r="R124" i="108"/>
  <c r="B124" i="108" s="1"/>
  <c r="O80" i="108"/>
  <c r="L81" i="108" s="1"/>
  <c r="B64" i="108"/>
  <c r="Q120" i="108"/>
  <c r="Q90" i="108"/>
  <c r="M96" i="108"/>
  <c r="Q96" i="108" s="1"/>
  <c r="R97" i="108" s="1"/>
  <c r="R94" i="108"/>
  <c r="R80" i="108"/>
  <c r="U87" i="108"/>
  <c r="S4" i="78"/>
  <c r="V100" i="80"/>
  <c r="U100" i="80"/>
  <c r="T100" i="80"/>
  <c r="S100" i="80"/>
  <c r="R100" i="80"/>
  <c r="V99" i="80"/>
  <c r="U99" i="80"/>
  <c r="T99" i="80"/>
  <c r="S99" i="80"/>
  <c r="R99" i="80"/>
  <c r="V98" i="80"/>
  <c r="U98" i="80"/>
  <c r="T98" i="80"/>
  <c r="S98" i="80"/>
  <c r="R98" i="80"/>
  <c r="V97" i="80"/>
  <c r="U97" i="80"/>
  <c r="T97" i="80"/>
  <c r="S97" i="80"/>
  <c r="R97" i="80"/>
  <c r="V96" i="80"/>
  <c r="U96" i="80"/>
  <c r="T96" i="80"/>
  <c r="S96" i="80"/>
  <c r="R96" i="80"/>
  <c r="V95" i="80"/>
  <c r="U95" i="80"/>
  <c r="T95" i="80"/>
  <c r="S95" i="80"/>
  <c r="R95" i="80"/>
  <c r="V94" i="80"/>
  <c r="U94" i="80"/>
  <c r="T94" i="80"/>
  <c r="S94" i="80"/>
  <c r="R94" i="80"/>
  <c r="V93" i="80"/>
  <c r="U93" i="80"/>
  <c r="T93" i="80"/>
  <c r="S93" i="80"/>
  <c r="R93" i="80"/>
  <c r="V92" i="80"/>
  <c r="U92" i="80"/>
  <c r="T92" i="80"/>
  <c r="S92" i="80"/>
  <c r="R92" i="80"/>
  <c r="V91" i="80"/>
  <c r="U91" i="80"/>
  <c r="T91" i="80"/>
  <c r="S91" i="80"/>
  <c r="R91" i="80"/>
  <c r="V90" i="80"/>
  <c r="U90" i="80"/>
  <c r="T90" i="80"/>
  <c r="S90" i="80"/>
  <c r="R90" i="80"/>
  <c r="V89" i="80"/>
  <c r="U89" i="80"/>
  <c r="T89" i="80"/>
  <c r="S89" i="80"/>
  <c r="R89" i="80"/>
  <c r="V88" i="80"/>
  <c r="U88" i="80"/>
  <c r="T88" i="80"/>
  <c r="S88" i="80"/>
  <c r="R88" i="80"/>
  <c r="V87" i="80"/>
  <c r="U87" i="80"/>
  <c r="T87" i="80"/>
  <c r="S87" i="80"/>
  <c r="R87" i="80"/>
  <c r="V86" i="80"/>
  <c r="U86" i="80"/>
  <c r="T86" i="80"/>
  <c r="S86" i="80"/>
  <c r="R86" i="80"/>
  <c r="V85" i="80"/>
  <c r="U85" i="80"/>
  <c r="T85" i="80"/>
  <c r="S85" i="80"/>
  <c r="R85" i="80"/>
  <c r="V84" i="80"/>
  <c r="U84" i="80"/>
  <c r="T84" i="80"/>
  <c r="S84" i="80"/>
  <c r="R84" i="80"/>
  <c r="V83" i="80"/>
  <c r="U83" i="80"/>
  <c r="T83" i="80"/>
  <c r="S83" i="80"/>
  <c r="R83" i="80"/>
  <c r="V82" i="80"/>
  <c r="U82" i="80"/>
  <c r="T82" i="80"/>
  <c r="S82" i="80"/>
  <c r="R82" i="80"/>
  <c r="V81" i="80"/>
  <c r="U81" i="80"/>
  <c r="T81" i="80"/>
  <c r="S81" i="80"/>
  <c r="R81" i="80"/>
  <c r="V80" i="80"/>
  <c r="U80" i="80"/>
  <c r="T80" i="80"/>
  <c r="S80" i="80"/>
  <c r="R80" i="80"/>
  <c r="V79" i="80"/>
  <c r="U79" i="80"/>
  <c r="T79" i="80"/>
  <c r="S79" i="80"/>
  <c r="R79" i="80"/>
  <c r="V78" i="80"/>
  <c r="U78" i="80"/>
  <c r="T78" i="80"/>
  <c r="S78" i="80"/>
  <c r="R78" i="80"/>
  <c r="V77" i="80"/>
  <c r="U77" i="80"/>
  <c r="T77" i="80"/>
  <c r="S77" i="80"/>
  <c r="R77" i="80"/>
  <c r="V76" i="80"/>
  <c r="U76" i="80"/>
  <c r="T76" i="80"/>
  <c r="S76" i="80"/>
  <c r="R76" i="80"/>
  <c r="V75" i="80"/>
  <c r="U75" i="80"/>
  <c r="T75" i="80"/>
  <c r="S75" i="80"/>
  <c r="R75" i="80"/>
  <c r="V74" i="80"/>
  <c r="U74" i="80"/>
  <c r="T74" i="80"/>
  <c r="S74" i="80"/>
  <c r="R74" i="80"/>
  <c r="V73" i="80"/>
  <c r="U73" i="80"/>
  <c r="T73" i="80"/>
  <c r="S73" i="80"/>
  <c r="R73" i="80"/>
  <c r="V72" i="80"/>
  <c r="U72" i="80"/>
  <c r="T72" i="80"/>
  <c r="S72" i="80"/>
  <c r="R72" i="80"/>
  <c r="V71" i="80"/>
  <c r="U71" i="80"/>
  <c r="T71" i="80"/>
  <c r="S71" i="80"/>
  <c r="R71" i="80"/>
  <c r="V70" i="80"/>
  <c r="U70" i="80"/>
  <c r="T70" i="80"/>
  <c r="S70" i="80"/>
  <c r="R70" i="80"/>
  <c r="V69" i="80"/>
  <c r="U69" i="80"/>
  <c r="T69" i="80"/>
  <c r="S69" i="80"/>
  <c r="R69" i="80"/>
  <c r="V68" i="80"/>
  <c r="U68" i="80"/>
  <c r="T68" i="80"/>
  <c r="S68" i="80"/>
  <c r="R68" i="80"/>
  <c r="V67" i="80"/>
  <c r="U67" i="80"/>
  <c r="T67" i="80"/>
  <c r="S67" i="80"/>
  <c r="R67" i="80"/>
  <c r="V66" i="80"/>
  <c r="U66" i="80"/>
  <c r="T66" i="80"/>
  <c r="S66" i="80"/>
  <c r="R66" i="80"/>
  <c r="V65" i="80"/>
  <c r="U65" i="80"/>
  <c r="T65" i="80"/>
  <c r="S65" i="80"/>
  <c r="R65" i="80"/>
  <c r="V64" i="80"/>
  <c r="U64" i="80"/>
  <c r="T64" i="80"/>
  <c r="S64" i="80"/>
  <c r="R64" i="80"/>
  <c r="V63" i="80"/>
  <c r="U63" i="80"/>
  <c r="T63" i="80"/>
  <c r="S63" i="80"/>
  <c r="R63" i="80"/>
  <c r="V62" i="80"/>
  <c r="U62" i="80"/>
  <c r="T62" i="80"/>
  <c r="S62" i="80"/>
  <c r="R62" i="80"/>
  <c r="V61" i="80"/>
  <c r="U61" i="80"/>
  <c r="T61" i="80"/>
  <c r="S61" i="80"/>
  <c r="R61" i="80"/>
  <c r="V60" i="80"/>
  <c r="U60" i="80"/>
  <c r="T60" i="80"/>
  <c r="S60" i="80"/>
  <c r="R60" i="80"/>
  <c r="V59" i="80"/>
  <c r="U59" i="80"/>
  <c r="T59" i="80"/>
  <c r="S59" i="80"/>
  <c r="R59" i="80"/>
  <c r="V58" i="80"/>
  <c r="U58" i="80"/>
  <c r="T58" i="80"/>
  <c r="S58" i="80"/>
  <c r="R58" i="80"/>
  <c r="V57" i="80"/>
  <c r="U57" i="80"/>
  <c r="T57" i="80"/>
  <c r="S57" i="80"/>
  <c r="R57" i="80"/>
  <c r="V56" i="80"/>
  <c r="U56" i="80"/>
  <c r="T56" i="80"/>
  <c r="S56" i="80"/>
  <c r="R56" i="80"/>
  <c r="V55" i="80"/>
  <c r="U55" i="80"/>
  <c r="T55" i="80"/>
  <c r="S55" i="80"/>
  <c r="R55" i="80"/>
  <c r="V54" i="80"/>
  <c r="U54" i="80"/>
  <c r="T54" i="80"/>
  <c r="S54" i="80"/>
  <c r="R54" i="80"/>
  <c r="V53" i="80"/>
  <c r="U53" i="80"/>
  <c r="T53" i="80"/>
  <c r="S53" i="80"/>
  <c r="R53" i="80"/>
  <c r="V52" i="80"/>
  <c r="U52" i="80"/>
  <c r="T52" i="80"/>
  <c r="S52" i="80"/>
  <c r="R52" i="80"/>
  <c r="V51" i="80"/>
  <c r="U51" i="80"/>
  <c r="T51" i="80"/>
  <c r="S51" i="80"/>
  <c r="R51" i="80"/>
  <c r="V50" i="80"/>
  <c r="U50" i="80"/>
  <c r="T50" i="80"/>
  <c r="S50" i="80"/>
  <c r="R50" i="80"/>
  <c r="V49" i="80"/>
  <c r="U49" i="80"/>
  <c r="T49" i="80"/>
  <c r="S49" i="80"/>
  <c r="R49" i="80"/>
  <c r="V48" i="80"/>
  <c r="U48" i="80"/>
  <c r="T48" i="80"/>
  <c r="S48" i="80"/>
  <c r="R48" i="80"/>
  <c r="V47" i="80"/>
  <c r="U47" i="80"/>
  <c r="T47" i="80"/>
  <c r="S47" i="80"/>
  <c r="R47" i="80"/>
  <c r="V46" i="80"/>
  <c r="U46" i="80"/>
  <c r="T46" i="80"/>
  <c r="S46" i="80"/>
  <c r="R46" i="80"/>
  <c r="V45" i="80"/>
  <c r="U45" i="80"/>
  <c r="T45" i="80"/>
  <c r="S45" i="80"/>
  <c r="R45" i="80"/>
  <c r="V44" i="80"/>
  <c r="U44" i="80"/>
  <c r="T44" i="80"/>
  <c r="S44" i="80"/>
  <c r="R44" i="80"/>
  <c r="V43" i="80"/>
  <c r="U43" i="80"/>
  <c r="T43" i="80"/>
  <c r="S43" i="80"/>
  <c r="R43" i="80"/>
  <c r="V42" i="80"/>
  <c r="U42" i="80"/>
  <c r="T42" i="80"/>
  <c r="S42" i="80"/>
  <c r="R42" i="80"/>
  <c r="V41" i="80"/>
  <c r="U41" i="80"/>
  <c r="T41" i="80"/>
  <c r="S41" i="80"/>
  <c r="R41" i="80"/>
  <c r="V40" i="80"/>
  <c r="U40" i="80"/>
  <c r="T40" i="80"/>
  <c r="S40" i="80"/>
  <c r="R40" i="80"/>
  <c r="V39" i="80"/>
  <c r="U39" i="80"/>
  <c r="T39" i="80"/>
  <c r="S39" i="80"/>
  <c r="R39" i="80"/>
  <c r="V38" i="80"/>
  <c r="U38" i="80"/>
  <c r="T38" i="80"/>
  <c r="S38" i="80"/>
  <c r="R38" i="80"/>
  <c r="V37" i="80"/>
  <c r="U37" i="80"/>
  <c r="T37" i="80"/>
  <c r="S37" i="80"/>
  <c r="R37" i="80"/>
  <c r="V36" i="80"/>
  <c r="U36" i="80"/>
  <c r="T36" i="80"/>
  <c r="S36" i="80"/>
  <c r="R36" i="80"/>
  <c r="V35" i="80"/>
  <c r="U35" i="80"/>
  <c r="T35" i="80"/>
  <c r="S35" i="80"/>
  <c r="R35" i="80"/>
  <c r="V34" i="80"/>
  <c r="U34" i="80"/>
  <c r="T34" i="80"/>
  <c r="S34" i="80"/>
  <c r="R34" i="80"/>
  <c r="V33" i="80"/>
  <c r="U33" i="80"/>
  <c r="T33" i="80"/>
  <c r="S33" i="80"/>
  <c r="R33" i="80"/>
  <c r="V32" i="80"/>
  <c r="U32" i="80"/>
  <c r="T32" i="80"/>
  <c r="S32" i="80"/>
  <c r="R32" i="80"/>
  <c r="V31" i="80"/>
  <c r="U31" i="80"/>
  <c r="T31" i="80"/>
  <c r="S31" i="80"/>
  <c r="R31" i="80"/>
  <c r="V30" i="80"/>
  <c r="U30" i="80"/>
  <c r="T30" i="80"/>
  <c r="S30" i="80"/>
  <c r="R30" i="80"/>
  <c r="V29" i="80"/>
  <c r="U29" i="80"/>
  <c r="T29" i="80"/>
  <c r="S29" i="80"/>
  <c r="R29" i="80"/>
  <c r="V28" i="80"/>
  <c r="U28" i="80"/>
  <c r="T28" i="80"/>
  <c r="S28" i="80"/>
  <c r="R28" i="80"/>
  <c r="V27" i="80"/>
  <c r="U27" i="80"/>
  <c r="T27" i="80"/>
  <c r="S27" i="80"/>
  <c r="R27" i="80"/>
  <c r="V26" i="80"/>
  <c r="U26" i="80"/>
  <c r="T26" i="80"/>
  <c r="S26" i="80"/>
  <c r="R26" i="80"/>
  <c r="V25" i="80"/>
  <c r="U25" i="80"/>
  <c r="T25" i="80"/>
  <c r="S25" i="80"/>
  <c r="R25" i="80"/>
  <c r="V24" i="80"/>
  <c r="U24" i="80"/>
  <c r="T24" i="80"/>
  <c r="S24" i="80"/>
  <c r="R24" i="80"/>
  <c r="V23" i="80"/>
  <c r="U23" i="80"/>
  <c r="T23" i="80"/>
  <c r="S23" i="80"/>
  <c r="R23" i="80"/>
  <c r="V22" i="80"/>
  <c r="U22" i="80"/>
  <c r="T22" i="80"/>
  <c r="S22" i="80"/>
  <c r="R22" i="80"/>
  <c r="V21" i="80"/>
  <c r="U21" i="80"/>
  <c r="T21" i="80"/>
  <c r="S21" i="80"/>
  <c r="R21" i="80"/>
  <c r="V20" i="80"/>
  <c r="U20" i="80"/>
  <c r="T20" i="80"/>
  <c r="S20" i="80"/>
  <c r="R20" i="80"/>
  <c r="V19" i="80"/>
  <c r="U19" i="80"/>
  <c r="T19" i="80"/>
  <c r="S19" i="80"/>
  <c r="R19" i="80"/>
  <c r="V18" i="80"/>
  <c r="U18" i="80"/>
  <c r="T18" i="80"/>
  <c r="S18" i="80"/>
  <c r="R18" i="80"/>
  <c r="V17" i="80"/>
  <c r="U17" i="80"/>
  <c r="T17" i="80"/>
  <c r="S17" i="80"/>
  <c r="R17" i="80"/>
  <c r="V16" i="80"/>
  <c r="U16" i="80"/>
  <c r="T16" i="80"/>
  <c r="S16" i="80"/>
  <c r="R16" i="80"/>
  <c r="V15" i="80"/>
  <c r="U15" i="80"/>
  <c r="T15" i="80"/>
  <c r="S15" i="80"/>
  <c r="R15" i="80"/>
  <c r="V14" i="80"/>
  <c r="U14" i="80"/>
  <c r="T14" i="80"/>
  <c r="S14" i="80"/>
  <c r="R14" i="80"/>
  <c r="V13" i="80"/>
  <c r="U13" i="80"/>
  <c r="T13" i="80"/>
  <c r="S13" i="80"/>
  <c r="R13" i="80"/>
  <c r="V12" i="80"/>
  <c r="U12" i="80"/>
  <c r="T12" i="80"/>
  <c r="S12" i="80"/>
  <c r="R12" i="80"/>
  <c r="V11" i="80"/>
  <c r="U11" i="80"/>
  <c r="T11" i="80"/>
  <c r="S11" i="80"/>
  <c r="R11" i="80"/>
  <c r="V10" i="80"/>
  <c r="U10" i="80"/>
  <c r="T10" i="80"/>
  <c r="S10" i="80"/>
  <c r="R10" i="80"/>
  <c r="V9" i="80"/>
  <c r="U9" i="80"/>
  <c r="T9" i="80"/>
  <c r="S9" i="80"/>
  <c r="R9" i="80"/>
  <c r="V8" i="80"/>
  <c r="U8" i="80"/>
  <c r="T8" i="80"/>
  <c r="S8" i="80"/>
  <c r="R8" i="80"/>
  <c r="V7" i="80"/>
  <c r="U7" i="80"/>
  <c r="T7" i="80"/>
  <c r="S7" i="80"/>
  <c r="R7" i="80"/>
  <c r="V6" i="80"/>
  <c r="U6" i="80"/>
  <c r="T6" i="80"/>
  <c r="S6" i="80"/>
  <c r="R6" i="80"/>
  <c r="V5" i="80"/>
  <c r="U5" i="80"/>
  <c r="T5" i="80"/>
  <c r="S5" i="80"/>
  <c r="R5" i="80"/>
  <c r="Z80" i="108" l="1"/>
  <c r="R127" i="108"/>
  <c r="F126" i="108" s="1"/>
  <c r="F125" i="108"/>
  <c r="L140" i="108"/>
  <c r="O140" i="108"/>
  <c r="T80" i="108"/>
  <c r="D80" i="108" s="1"/>
  <c r="L110" i="108"/>
  <c r="O110" i="108"/>
  <c r="L111" i="108" s="1"/>
  <c r="B94" i="108"/>
  <c r="R110" i="108"/>
  <c r="U117" i="108"/>
  <c r="S90" i="108"/>
  <c r="T90" i="108" s="1"/>
  <c r="R90" i="108" s="1"/>
  <c r="S87" i="108"/>
  <c r="B88" i="108"/>
  <c r="V87" i="108"/>
  <c r="B90" i="108"/>
  <c r="O36" i="113"/>
  <c r="S6" i="78"/>
  <c r="S7" i="78"/>
  <c r="S8" i="78"/>
  <c r="S12" i="78"/>
  <c r="S13" i="78"/>
  <c r="S14" i="78"/>
  <c r="S15" i="78"/>
  <c r="S16" i="78"/>
  <c r="S17" i="78"/>
  <c r="N59" i="113"/>
  <c r="W58" i="113"/>
  <c r="O60" i="113" s="1"/>
  <c r="M56" i="113"/>
  <c r="N56" i="113" s="1"/>
  <c r="U55" i="113"/>
  <c r="Q57" i="113" s="1"/>
  <c r="M55" i="113"/>
  <c r="Q55" i="113" s="1"/>
  <c r="AD53" i="113"/>
  <c r="R53" i="113"/>
  <c r="Q53" i="113"/>
  <c r="AE52" i="113"/>
  <c r="E52" i="113"/>
  <c r="Q50" i="113"/>
  <c r="K50" i="113"/>
  <c r="C50" i="113"/>
  <c r="L48" i="113"/>
  <c r="Y47" i="113"/>
  <c r="X47" i="113"/>
  <c r="Q47" i="113"/>
  <c r="K47" i="113"/>
  <c r="P47" i="113" s="1"/>
  <c r="P44" i="113"/>
  <c r="O44" i="113"/>
  <c r="C43" i="113"/>
  <c r="C41" i="113"/>
  <c r="P39" i="113"/>
  <c r="E40" i="113" s="1"/>
  <c r="O39" i="113"/>
  <c r="L39" i="113" s="1"/>
  <c r="C39" i="113" s="1"/>
  <c r="N39" i="113"/>
  <c r="C40" i="113" s="1"/>
  <c r="M39" i="113"/>
  <c r="L33" i="113" s="1"/>
  <c r="T37" i="113"/>
  <c r="R58" i="113" s="1"/>
  <c r="T35" i="113"/>
  <c r="B35" i="113" s="1"/>
  <c r="S35" i="113"/>
  <c r="O34" i="113"/>
  <c r="A31" i="113"/>
  <c r="V35" i="112"/>
  <c r="B35" i="112" s="1"/>
  <c r="U35" i="112"/>
  <c r="AD53" i="112"/>
  <c r="R53" i="112"/>
  <c r="Q53" i="112"/>
  <c r="AE52" i="112"/>
  <c r="Q50" i="112"/>
  <c r="K50" i="112"/>
  <c r="C50" i="112"/>
  <c r="L48" i="112"/>
  <c r="Y47" i="112"/>
  <c r="X47" i="112"/>
  <c r="Q47" i="112"/>
  <c r="K47" i="112"/>
  <c r="P47" i="112" s="1"/>
  <c r="P44" i="112"/>
  <c r="O44" i="112"/>
  <c r="S39" i="112"/>
  <c r="C43" i="112" s="1"/>
  <c r="R39" i="112"/>
  <c r="C42" i="112" s="1"/>
  <c r="F44" i="112" s="1"/>
  <c r="Q39" i="112"/>
  <c r="C41" i="112" s="1"/>
  <c r="P39" i="112"/>
  <c r="E40" i="112" s="1"/>
  <c r="O39" i="112"/>
  <c r="L39" i="112" s="1"/>
  <c r="C39" i="112" s="1"/>
  <c r="M34" i="112" s="1"/>
  <c r="N39" i="112"/>
  <c r="C40" i="112" s="1"/>
  <c r="M39" i="112"/>
  <c r="C38" i="112" s="1"/>
  <c r="T37" i="112"/>
  <c r="R58" i="112" s="1"/>
  <c r="O34" i="112"/>
  <c r="A31" i="112"/>
  <c r="A31" i="108"/>
  <c r="N59" i="108"/>
  <c r="J5" i="78"/>
  <c r="K5" i="78"/>
  <c r="N5" i="78"/>
  <c r="O5" i="78" s="1"/>
  <c r="P5" i="78"/>
  <c r="Q5" i="78" s="1"/>
  <c r="R5" i="78"/>
  <c r="U147" i="108" l="1"/>
  <c r="B55" i="113"/>
  <c r="L59" i="112"/>
  <c r="T58" i="112"/>
  <c r="M59" i="112" s="1"/>
  <c r="P59" i="112" s="1"/>
  <c r="M60" i="112" s="1"/>
  <c r="P37" i="113"/>
  <c r="S53" i="113"/>
  <c r="D45" i="112"/>
  <c r="S53" i="112"/>
  <c r="P37" i="112"/>
  <c r="F35" i="112"/>
  <c r="L141" i="108"/>
  <c r="R140" i="108"/>
  <c r="Z140" i="108" s="1"/>
  <c r="S150" i="108"/>
  <c r="T150" i="108" s="1"/>
  <c r="R150" i="108" s="1"/>
  <c r="B150" i="108" s="1"/>
  <c r="V147" i="108"/>
  <c r="S147" i="108"/>
  <c r="B148" i="108"/>
  <c r="T140" i="108"/>
  <c r="S120" i="108"/>
  <c r="T120" i="108" s="1"/>
  <c r="R120" i="108" s="1"/>
  <c r="S117" i="108"/>
  <c r="B120" i="108"/>
  <c r="B118" i="108"/>
  <c r="V117" i="108"/>
  <c r="T110" i="108"/>
  <c r="D110" i="108" s="1"/>
  <c r="Z110" i="108"/>
  <c r="U39" i="113"/>
  <c r="J41" i="113" s="1"/>
  <c r="M34" i="113"/>
  <c r="E39" i="112"/>
  <c r="M42" i="112" s="1"/>
  <c r="O42" i="112" s="1"/>
  <c r="F39" i="112" s="1"/>
  <c r="D45" i="113"/>
  <c r="M50" i="113"/>
  <c r="AA47" i="113"/>
  <c r="C38" i="113"/>
  <c r="M33" i="113"/>
  <c r="AB52" i="113" s="1"/>
  <c r="E39" i="113"/>
  <c r="M41" i="113" s="1"/>
  <c r="O41" i="113" s="1"/>
  <c r="F38" i="113" s="1"/>
  <c r="F40" i="113"/>
  <c r="T58" i="113"/>
  <c r="M59" i="113" s="1"/>
  <c r="L59" i="113"/>
  <c r="L34" i="113"/>
  <c r="AA52" i="113"/>
  <c r="O56" i="113"/>
  <c r="P56" i="113" s="1"/>
  <c r="P57" i="113"/>
  <c r="M50" i="112"/>
  <c r="F40" i="112"/>
  <c r="AA47" i="112"/>
  <c r="C44" i="112"/>
  <c r="O46" i="112"/>
  <c r="G42" i="112"/>
  <c r="H42" i="112" s="1"/>
  <c r="L33" i="112"/>
  <c r="M33" i="112"/>
  <c r="L5" i="78"/>
  <c r="B147" i="108" l="1"/>
  <c r="R57" i="113"/>
  <c r="P60" i="112"/>
  <c r="Q60" i="112" s="1"/>
  <c r="Z56" i="112"/>
  <c r="D140" i="108"/>
  <c r="R34" i="113"/>
  <c r="L50" i="113" s="1"/>
  <c r="G41" i="112"/>
  <c r="H41" i="112" s="1"/>
  <c r="M41" i="112"/>
  <c r="O41" i="112" s="1"/>
  <c r="F38" i="112" s="1"/>
  <c r="G43" i="112"/>
  <c r="H43" i="112" s="1"/>
  <c r="G41" i="113"/>
  <c r="H41" i="113" s="1"/>
  <c r="S33" i="113"/>
  <c r="G43" i="113"/>
  <c r="H43" i="113" s="1"/>
  <c r="T33" i="113"/>
  <c r="R33" i="113"/>
  <c r="Z47" i="113" s="1"/>
  <c r="AC47" i="113" s="1"/>
  <c r="G47" i="113" s="1"/>
  <c r="P59" i="113"/>
  <c r="M60" i="113" s="1"/>
  <c r="P60" i="113" s="1"/>
  <c r="M42" i="113"/>
  <c r="O42" i="113" s="1"/>
  <c r="F39" i="113" s="1"/>
  <c r="M36" i="113"/>
  <c r="L60" i="113"/>
  <c r="AB52" i="112"/>
  <c r="T33" i="112"/>
  <c r="R33" i="112"/>
  <c r="Z47" i="112" s="1"/>
  <c r="S48" i="112"/>
  <c r="R47" i="112"/>
  <c r="L34" i="112"/>
  <c r="AA52" i="112"/>
  <c r="S33" i="112"/>
  <c r="C46" i="112"/>
  <c r="R39" i="108"/>
  <c r="Q39" i="108"/>
  <c r="P39" i="108"/>
  <c r="O39" i="108"/>
  <c r="M39" i="108"/>
  <c r="L33" i="108" s="1"/>
  <c r="Q36" i="113" l="1"/>
  <c r="R37" i="113" s="1"/>
  <c r="F36" i="113" s="1"/>
  <c r="AE56" i="112"/>
  <c r="O50" i="113"/>
  <c r="L51" i="113" s="1"/>
  <c r="B34" i="113"/>
  <c r="U33" i="113"/>
  <c r="N52" i="113" s="1"/>
  <c r="AA53" i="113" s="1"/>
  <c r="Q60" i="113"/>
  <c r="U57" i="113"/>
  <c r="R50" i="113"/>
  <c r="L49" i="113"/>
  <c r="S49" i="113"/>
  <c r="M48" i="113"/>
  <c r="U33" i="112"/>
  <c r="N52" i="112" s="1"/>
  <c r="AA53" i="112" s="1"/>
  <c r="AC47" i="112"/>
  <c r="G47" i="112" s="1"/>
  <c r="R37" i="112"/>
  <c r="R34" i="112"/>
  <c r="B34" i="112" s="1"/>
  <c r="F35" i="113" l="1"/>
  <c r="F36" i="112"/>
  <c r="U57" i="112"/>
  <c r="T50" i="113"/>
  <c r="Z50" i="113"/>
  <c r="B33" i="112"/>
  <c r="B33" i="113"/>
  <c r="S60" i="113"/>
  <c r="T60" i="113" s="1"/>
  <c r="R60" i="113" s="1"/>
  <c r="B60" i="113" s="1"/>
  <c r="B58" i="113"/>
  <c r="V57" i="113"/>
  <c r="S57" i="113"/>
  <c r="B57" i="113" s="1"/>
  <c r="S49" i="112"/>
  <c r="L49" i="112"/>
  <c r="M48" i="112"/>
  <c r="L50" i="112"/>
  <c r="O50" i="112"/>
  <c r="L51" i="112" s="1"/>
  <c r="R50" i="112"/>
  <c r="L48" i="108"/>
  <c r="D50" i="113" l="1"/>
  <c r="S60" i="112"/>
  <c r="T60" i="112" s="1"/>
  <c r="R60" i="112" s="1"/>
  <c r="B60" i="112" s="1"/>
  <c r="V57" i="112"/>
  <c r="S57" i="112"/>
  <c r="B58" i="112"/>
  <c r="T50" i="112"/>
  <c r="Z50" i="112"/>
  <c r="Q47" i="108"/>
  <c r="B57" i="112" l="1"/>
  <c r="D50" i="112"/>
  <c r="U55" i="108" l="1"/>
  <c r="T37" i="108"/>
  <c r="R58" i="108" s="1"/>
  <c r="O36" i="108"/>
  <c r="V35" i="108"/>
  <c r="U35" i="108"/>
  <c r="B98" i="80"/>
  <c r="C98" i="80"/>
  <c r="D98" i="80"/>
  <c r="E98" i="80"/>
  <c r="F98" i="80"/>
  <c r="G98" i="80"/>
  <c r="H98" i="80"/>
  <c r="I98" i="80"/>
  <c r="J98" i="80"/>
  <c r="K98" i="80"/>
  <c r="L98" i="80"/>
  <c r="M98" i="80"/>
  <c r="N98" i="80"/>
  <c r="O98" i="80"/>
  <c r="P98" i="80"/>
  <c r="Q98" i="80"/>
  <c r="B99" i="80"/>
  <c r="C99" i="80"/>
  <c r="D99" i="80"/>
  <c r="E99" i="80"/>
  <c r="F99" i="80"/>
  <c r="G99" i="80"/>
  <c r="H99" i="80"/>
  <c r="I99" i="80"/>
  <c r="J99" i="80"/>
  <c r="K99" i="80"/>
  <c r="L99" i="80"/>
  <c r="M99" i="80"/>
  <c r="N99" i="80"/>
  <c r="O99" i="80"/>
  <c r="P99" i="80"/>
  <c r="Q99" i="80"/>
  <c r="B100" i="80"/>
  <c r="C100" i="80"/>
  <c r="D100" i="80"/>
  <c r="E100" i="80"/>
  <c r="F100" i="80"/>
  <c r="G100" i="80"/>
  <c r="H100" i="80"/>
  <c r="I100" i="80"/>
  <c r="J100" i="80"/>
  <c r="K100" i="80"/>
  <c r="L100" i="80"/>
  <c r="M100" i="80"/>
  <c r="N100" i="80"/>
  <c r="O100" i="80"/>
  <c r="P100" i="80"/>
  <c r="Q100" i="80"/>
  <c r="B94" i="80"/>
  <c r="C94" i="80"/>
  <c r="D94" i="80"/>
  <c r="E94" i="80"/>
  <c r="F94" i="80"/>
  <c r="G94" i="80"/>
  <c r="H94" i="80"/>
  <c r="I94" i="80"/>
  <c r="J94" i="80"/>
  <c r="K94" i="80"/>
  <c r="L94" i="80"/>
  <c r="M94" i="80"/>
  <c r="N94" i="80"/>
  <c r="O94" i="80"/>
  <c r="P94" i="80"/>
  <c r="Q94" i="80"/>
  <c r="B95" i="80"/>
  <c r="C95" i="80"/>
  <c r="D95" i="80"/>
  <c r="E95" i="80"/>
  <c r="F95" i="80"/>
  <c r="G95" i="80"/>
  <c r="H95" i="80"/>
  <c r="I95" i="80"/>
  <c r="J95" i="80"/>
  <c r="K95" i="80"/>
  <c r="L95" i="80"/>
  <c r="M95" i="80"/>
  <c r="N95" i="80"/>
  <c r="O95" i="80"/>
  <c r="P95" i="80"/>
  <c r="Q95" i="80"/>
  <c r="B96" i="80"/>
  <c r="C96" i="80"/>
  <c r="D96" i="80"/>
  <c r="E96" i="80"/>
  <c r="F96" i="80"/>
  <c r="G96" i="80"/>
  <c r="H96" i="80"/>
  <c r="I96" i="80"/>
  <c r="J96" i="80"/>
  <c r="K96" i="80"/>
  <c r="L96" i="80"/>
  <c r="M96" i="80"/>
  <c r="N96" i="80"/>
  <c r="O96" i="80"/>
  <c r="P96" i="80"/>
  <c r="Q96" i="80"/>
  <c r="B97" i="80"/>
  <c r="C97" i="80"/>
  <c r="D97" i="80"/>
  <c r="E97" i="80"/>
  <c r="F97" i="80"/>
  <c r="G97" i="80"/>
  <c r="H97" i="80"/>
  <c r="I97" i="80"/>
  <c r="J97" i="80"/>
  <c r="K97" i="80"/>
  <c r="L97" i="80"/>
  <c r="M97" i="80"/>
  <c r="N97" i="80"/>
  <c r="O97" i="80"/>
  <c r="P97" i="80"/>
  <c r="Q97" i="80"/>
  <c r="B89" i="80"/>
  <c r="C89" i="80"/>
  <c r="D89" i="80"/>
  <c r="E89" i="80"/>
  <c r="F89" i="80"/>
  <c r="G89" i="80"/>
  <c r="H89" i="80"/>
  <c r="I89" i="80"/>
  <c r="J89" i="80"/>
  <c r="K89" i="80"/>
  <c r="L89" i="80"/>
  <c r="M89" i="80"/>
  <c r="N89" i="80"/>
  <c r="O89" i="80"/>
  <c r="P89" i="80"/>
  <c r="Q89" i="80"/>
  <c r="B90" i="80"/>
  <c r="C90" i="80"/>
  <c r="D90" i="80"/>
  <c r="E90" i="80"/>
  <c r="F90" i="80"/>
  <c r="G90" i="80"/>
  <c r="H90" i="80"/>
  <c r="I90" i="80"/>
  <c r="J90" i="80"/>
  <c r="K90" i="80"/>
  <c r="L90" i="80"/>
  <c r="M90" i="80"/>
  <c r="N90" i="80"/>
  <c r="O90" i="80"/>
  <c r="P90" i="80"/>
  <c r="Q90" i="80"/>
  <c r="B91" i="80"/>
  <c r="C91" i="80"/>
  <c r="D91" i="80"/>
  <c r="E91" i="80"/>
  <c r="F91" i="80"/>
  <c r="G91" i="80"/>
  <c r="H91" i="80"/>
  <c r="I91" i="80"/>
  <c r="J91" i="80"/>
  <c r="K91" i="80"/>
  <c r="L91" i="80"/>
  <c r="M91" i="80"/>
  <c r="N91" i="80"/>
  <c r="O91" i="80"/>
  <c r="P91" i="80"/>
  <c r="Q91" i="80"/>
  <c r="B92" i="80"/>
  <c r="C92" i="80"/>
  <c r="D92" i="80"/>
  <c r="E92" i="80"/>
  <c r="F92" i="80"/>
  <c r="G92" i="80"/>
  <c r="H92" i="80"/>
  <c r="I92" i="80"/>
  <c r="J92" i="80"/>
  <c r="K92" i="80"/>
  <c r="L92" i="80"/>
  <c r="M92" i="80"/>
  <c r="N92" i="80"/>
  <c r="O92" i="80"/>
  <c r="P92" i="80"/>
  <c r="Q92" i="80"/>
  <c r="B93" i="80"/>
  <c r="C93" i="80"/>
  <c r="D93" i="80"/>
  <c r="E93" i="80"/>
  <c r="F93" i="80"/>
  <c r="G93" i="80"/>
  <c r="H93" i="80"/>
  <c r="I93" i="80"/>
  <c r="J93" i="80"/>
  <c r="K93" i="80"/>
  <c r="L93" i="80"/>
  <c r="M93" i="80"/>
  <c r="N93" i="80"/>
  <c r="O93" i="80"/>
  <c r="P93" i="80"/>
  <c r="Q93" i="80"/>
  <c r="D9" i="78" l="1"/>
  <c r="S9" i="78" s="1"/>
  <c r="C42" i="108" l="1"/>
  <c r="C41" i="108"/>
  <c r="E40" i="108"/>
  <c r="C38" i="108"/>
  <c r="L59" i="108"/>
  <c r="W58" i="108"/>
  <c r="O60" i="108" s="1"/>
  <c r="T58" i="108"/>
  <c r="M59" i="108" s="1"/>
  <c r="Q57" i="108"/>
  <c r="M55" i="108"/>
  <c r="AD53" i="108"/>
  <c r="R53" i="108"/>
  <c r="Q53" i="108"/>
  <c r="AE52" i="108"/>
  <c r="E52" i="108"/>
  <c r="Q50" i="108"/>
  <c r="K50" i="108"/>
  <c r="C50" i="108"/>
  <c r="Y47" i="108"/>
  <c r="X47" i="108"/>
  <c r="K47" i="108"/>
  <c r="P47" i="108" s="1"/>
  <c r="P44" i="108"/>
  <c r="O44" i="108"/>
  <c r="B35" i="108"/>
  <c r="O34" i="108"/>
  <c r="AA47" i="108" l="1"/>
  <c r="D45" i="108"/>
  <c r="Q55" i="108"/>
  <c r="O56" i="108" s="1"/>
  <c r="P56" i="108" s="1"/>
  <c r="B55" i="108"/>
  <c r="P59" i="108"/>
  <c r="M60" i="108" s="1"/>
  <c r="P60" i="108" s="1"/>
  <c r="S53" i="108"/>
  <c r="E39" i="108"/>
  <c r="M42" i="108" s="1"/>
  <c r="O42" i="108" s="1"/>
  <c r="F39" i="108" s="1"/>
  <c r="L39" i="108"/>
  <c r="C39" i="108" s="1"/>
  <c r="M34" i="108" s="1"/>
  <c r="P37" i="108"/>
  <c r="M50" i="108"/>
  <c r="O46" i="108"/>
  <c r="S48" i="108" s="1"/>
  <c r="G42" i="108"/>
  <c r="H42" i="108" s="1"/>
  <c r="P57" i="108" l="1"/>
  <c r="R57" i="108" s="1"/>
  <c r="L60" i="108" s="1"/>
  <c r="Q60" i="108" s="1"/>
  <c r="G41" i="108"/>
  <c r="H41" i="108" s="1"/>
  <c r="M41" i="108"/>
  <c r="O41" i="108" s="1"/>
  <c r="F38" i="108" s="1"/>
  <c r="R47" i="108"/>
  <c r="C46" i="108"/>
  <c r="L34" i="108"/>
  <c r="M36" i="108" s="1"/>
  <c r="AA52" i="108"/>
  <c r="R34" i="108" l="1"/>
  <c r="Q36" i="108" l="1"/>
  <c r="R37" i="108" s="1"/>
  <c r="F36" i="108" s="1"/>
  <c r="B34" i="108"/>
  <c r="L50" i="108"/>
  <c r="O50" i="108"/>
  <c r="U57" i="108" l="1"/>
  <c r="B58" i="108" s="1"/>
  <c r="R50" i="108"/>
  <c r="Z50" i="108" s="1"/>
  <c r="L51" i="108"/>
  <c r="F35" i="108"/>
  <c r="T50" i="108"/>
  <c r="D50" i="108" l="1"/>
  <c r="V57" i="108"/>
  <c r="S57" i="108"/>
  <c r="S60" i="108"/>
  <c r="T60" i="108" s="1"/>
  <c r="R60" i="108" s="1"/>
  <c r="B60" i="108" s="1"/>
  <c r="B57" i="108" l="1"/>
  <c r="A2" i="80"/>
  <c r="B5" i="80"/>
  <c r="C5" i="80"/>
  <c r="D5" i="80"/>
  <c r="E5" i="80"/>
  <c r="F5" i="80"/>
  <c r="G5" i="80"/>
  <c r="H5" i="80"/>
  <c r="I5" i="80"/>
  <c r="J5" i="80"/>
  <c r="K5" i="80"/>
  <c r="L5" i="80"/>
  <c r="M5" i="80"/>
  <c r="N5" i="80"/>
  <c r="O5" i="80"/>
  <c r="P5" i="80"/>
  <c r="Q5" i="80"/>
  <c r="B6" i="80"/>
  <c r="C6" i="80"/>
  <c r="D6" i="80"/>
  <c r="E6" i="80"/>
  <c r="F6" i="80"/>
  <c r="G6" i="80"/>
  <c r="H6" i="80"/>
  <c r="I6" i="80"/>
  <c r="J6" i="80"/>
  <c r="K6" i="80"/>
  <c r="L6" i="80"/>
  <c r="M6" i="80"/>
  <c r="N6" i="80"/>
  <c r="O6" i="80"/>
  <c r="P6" i="80"/>
  <c r="Q6" i="80"/>
  <c r="B7" i="80"/>
  <c r="C7" i="80"/>
  <c r="D7" i="80"/>
  <c r="E7" i="80"/>
  <c r="F7" i="80"/>
  <c r="G7" i="80"/>
  <c r="H7" i="80"/>
  <c r="I7" i="80"/>
  <c r="J7" i="80"/>
  <c r="K7" i="80"/>
  <c r="L7" i="80"/>
  <c r="M7" i="80"/>
  <c r="N7" i="80"/>
  <c r="O7" i="80"/>
  <c r="P7" i="80"/>
  <c r="Q7" i="80"/>
  <c r="B8" i="80"/>
  <c r="C8" i="80"/>
  <c r="D8" i="80"/>
  <c r="E8" i="80"/>
  <c r="F8" i="80"/>
  <c r="G8" i="80"/>
  <c r="H8" i="80"/>
  <c r="I8" i="80"/>
  <c r="J8" i="80"/>
  <c r="K8" i="80"/>
  <c r="L8" i="80"/>
  <c r="M8" i="80"/>
  <c r="N8" i="80"/>
  <c r="O8" i="80"/>
  <c r="P8" i="80"/>
  <c r="Q8" i="80"/>
  <c r="B9" i="80"/>
  <c r="C9" i="80"/>
  <c r="D9" i="80"/>
  <c r="E9" i="80"/>
  <c r="F9" i="80"/>
  <c r="G9" i="80"/>
  <c r="H9" i="80"/>
  <c r="I9" i="80"/>
  <c r="J9" i="80"/>
  <c r="K9" i="80"/>
  <c r="L9" i="80"/>
  <c r="M9" i="80"/>
  <c r="N9" i="80"/>
  <c r="O9" i="80"/>
  <c r="P9" i="80"/>
  <c r="Q9" i="80"/>
  <c r="B10" i="80"/>
  <c r="C10" i="80"/>
  <c r="D10" i="80"/>
  <c r="E10" i="80"/>
  <c r="F10" i="80"/>
  <c r="G10" i="80"/>
  <c r="H10" i="80"/>
  <c r="I10" i="80"/>
  <c r="J10" i="80"/>
  <c r="K10" i="80"/>
  <c r="L10" i="80"/>
  <c r="M10" i="80"/>
  <c r="N10" i="80"/>
  <c r="O10" i="80"/>
  <c r="P10" i="80"/>
  <c r="Q10" i="80"/>
  <c r="B11" i="80"/>
  <c r="C11" i="80"/>
  <c r="D11" i="80"/>
  <c r="E11" i="80"/>
  <c r="F11" i="80"/>
  <c r="G11" i="80"/>
  <c r="H11" i="80"/>
  <c r="I11" i="80"/>
  <c r="J11" i="80"/>
  <c r="K11" i="80"/>
  <c r="L11" i="80"/>
  <c r="M11" i="80"/>
  <c r="N11" i="80"/>
  <c r="O11" i="80"/>
  <c r="P11" i="80"/>
  <c r="Q11" i="80"/>
  <c r="B12" i="80"/>
  <c r="C12" i="80"/>
  <c r="D12" i="80"/>
  <c r="E12" i="80"/>
  <c r="F12" i="80"/>
  <c r="G12" i="80"/>
  <c r="H12" i="80"/>
  <c r="I12" i="80"/>
  <c r="J12" i="80"/>
  <c r="K12" i="80"/>
  <c r="L12" i="80"/>
  <c r="M12" i="80"/>
  <c r="N12" i="80"/>
  <c r="O12" i="80"/>
  <c r="P12" i="80"/>
  <c r="Q12" i="80"/>
  <c r="B13" i="80"/>
  <c r="C13" i="80"/>
  <c r="D13" i="80"/>
  <c r="E13" i="80"/>
  <c r="F13" i="80"/>
  <c r="G13" i="80"/>
  <c r="H13" i="80"/>
  <c r="I13" i="80"/>
  <c r="J13" i="80"/>
  <c r="K13" i="80"/>
  <c r="L13" i="80"/>
  <c r="M13" i="80"/>
  <c r="N13" i="80"/>
  <c r="O13" i="80"/>
  <c r="P13" i="80"/>
  <c r="Q13" i="80"/>
  <c r="B14" i="80"/>
  <c r="C14" i="80"/>
  <c r="D14" i="80"/>
  <c r="E14" i="80"/>
  <c r="F14" i="80"/>
  <c r="G14" i="80"/>
  <c r="H14" i="80"/>
  <c r="I14" i="80"/>
  <c r="J14" i="80"/>
  <c r="K14" i="80"/>
  <c r="L14" i="80"/>
  <c r="M14" i="80"/>
  <c r="N14" i="80"/>
  <c r="O14" i="80"/>
  <c r="P14" i="80"/>
  <c r="Q14" i="80"/>
  <c r="B15" i="80"/>
  <c r="C15" i="80"/>
  <c r="D15" i="80"/>
  <c r="E15" i="80"/>
  <c r="F15" i="80"/>
  <c r="G15" i="80"/>
  <c r="H15" i="80"/>
  <c r="I15" i="80"/>
  <c r="J15" i="80"/>
  <c r="K15" i="80"/>
  <c r="L15" i="80"/>
  <c r="M15" i="80"/>
  <c r="N15" i="80"/>
  <c r="O15" i="80"/>
  <c r="P15" i="80"/>
  <c r="Q15" i="80"/>
  <c r="B16" i="80"/>
  <c r="C16" i="80"/>
  <c r="D16" i="80"/>
  <c r="E16" i="80"/>
  <c r="F16" i="80"/>
  <c r="G16" i="80"/>
  <c r="H16" i="80"/>
  <c r="I16" i="80"/>
  <c r="J16" i="80"/>
  <c r="K16" i="80"/>
  <c r="L16" i="80"/>
  <c r="M16" i="80"/>
  <c r="N16" i="80"/>
  <c r="O16" i="80"/>
  <c r="P16" i="80"/>
  <c r="Q16" i="80"/>
  <c r="B17" i="80"/>
  <c r="C17" i="80"/>
  <c r="D17" i="80"/>
  <c r="E17" i="80"/>
  <c r="F17" i="80"/>
  <c r="G17" i="80"/>
  <c r="H17" i="80"/>
  <c r="I17" i="80"/>
  <c r="J17" i="80"/>
  <c r="K17" i="80"/>
  <c r="L17" i="80"/>
  <c r="M17" i="80"/>
  <c r="N17" i="80"/>
  <c r="O17" i="80"/>
  <c r="P17" i="80"/>
  <c r="Q17" i="80"/>
  <c r="B18" i="80"/>
  <c r="C18" i="80"/>
  <c r="D18" i="80"/>
  <c r="E18" i="80"/>
  <c r="F18" i="80"/>
  <c r="G18" i="80"/>
  <c r="H18" i="80"/>
  <c r="I18" i="80"/>
  <c r="J18" i="80"/>
  <c r="K18" i="80"/>
  <c r="L18" i="80"/>
  <c r="M18" i="80"/>
  <c r="N18" i="80"/>
  <c r="O18" i="80"/>
  <c r="P18" i="80"/>
  <c r="Q18" i="80"/>
  <c r="B19" i="80"/>
  <c r="C19" i="80"/>
  <c r="D19" i="80"/>
  <c r="E19" i="80"/>
  <c r="F19" i="80"/>
  <c r="G19" i="80"/>
  <c r="H19" i="80"/>
  <c r="I19" i="80"/>
  <c r="J19" i="80"/>
  <c r="K19" i="80"/>
  <c r="L19" i="80"/>
  <c r="M19" i="80"/>
  <c r="N19" i="80"/>
  <c r="O19" i="80"/>
  <c r="P19" i="80"/>
  <c r="Q19" i="80"/>
  <c r="B20" i="80"/>
  <c r="C20" i="80"/>
  <c r="D20" i="80"/>
  <c r="E20" i="80"/>
  <c r="F20" i="80"/>
  <c r="G20" i="80"/>
  <c r="H20" i="80"/>
  <c r="I20" i="80"/>
  <c r="J20" i="80"/>
  <c r="K20" i="80"/>
  <c r="L20" i="80"/>
  <c r="M20" i="80"/>
  <c r="N20" i="80"/>
  <c r="O20" i="80"/>
  <c r="P20" i="80"/>
  <c r="Q20" i="80"/>
  <c r="B21" i="80"/>
  <c r="C21" i="80"/>
  <c r="D21" i="80"/>
  <c r="E21" i="80"/>
  <c r="F21" i="80"/>
  <c r="G21" i="80"/>
  <c r="H21" i="80"/>
  <c r="I21" i="80"/>
  <c r="J21" i="80"/>
  <c r="K21" i="80"/>
  <c r="L21" i="80"/>
  <c r="M21" i="80"/>
  <c r="N21" i="80"/>
  <c r="O21" i="80"/>
  <c r="P21" i="80"/>
  <c r="Q21" i="80"/>
  <c r="B22" i="80"/>
  <c r="C22" i="80"/>
  <c r="D22" i="80"/>
  <c r="E22" i="80"/>
  <c r="F22" i="80"/>
  <c r="G22" i="80"/>
  <c r="H22" i="80"/>
  <c r="I22" i="80"/>
  <c r="J22" i="80"/>
  <c r="K22" i="80"/>
  <c r="L22" i="80"/>
  <c r="M22" i="80"/>
  <c r="N22" i="80"/>
  <c r="O22" i="80"/>
  <c r="P22" i="80"/>
  <c r="Q22" i="80"/>
  <c r="B23" i="80"/>
  <c r="C23" i="80"/>
  <c r="D23" i="80"/>
  <c r="E23" i="80"/>
  <c r="F23" i="80"/>
  <c r="G23" i="80"/>
  <c r="H23" i="80"/>
  <c r="I23" i="80"/>
  <c r="J23" i="80"/>
  <c r="K23" i="80"/>
  <c r="L23" i="80"/>
  <c r="M23" i="80"/>
  <c r="N23" i="80"/>
  <c r="O23" i="80"/>
  <c r="P23" i="80"/>
  <c r="Q23" i="80"/>
  <c r="B24" i="80"/>
  <c r="C24" i="80"/>
  <c r="D24" i="80"/>
  <c r="E24" i="80"/>
  <c r="F24" i="80"/>
  <c r="G24" i="80"/>
  <c r="H24" i="80"/>
  <c r="I24" i="80"/>
  <c r="J24" i="80"/>
  <c r="K24" i="80"/>
  <c r="L24" i="80"/>
  <c r="M24" i="80"/>
  <c r="N24" i="80"/>
  <c r="O24" i="80"/>
  <c r="P24" i="80"/>
  <c r="Q24" i="80"/>
  <c r="B25" i="80"/>
  <c r="C25" i="80"/>
  <c r="D25" i="80"/>
  <c r="E25" i="80"/>
  <c r="F25" i="80"/>
  <c r="G25" i="80"/>
  <c r="H25" i="80"/>
  <c r="I25" i="80"/>
  <c r="J25" i="80"/>
  <c r="K25" i="80"/>
  <c r="L25" i="80"/>
  <c r="M25" i="80"/>
  <c r="N25" i="80"/>
  <c r="O25" i="80"/>
  <c r="P25" i="80"/>
  <c r="Q25" i="80"/>
  <c r="B26" i="80"/>
  <c r="C26" i="80"/>
  <c r="D26" i="80"/>
  <c r="E26" i="80"/>
  <c r="F26" i="80"/>
  <c r="G26" i="80"/>
  <c r="H26" i="80"/>
  <c r="I26" i="80"/>
  <c r="J26" i="80"/>
  <c r="K26" i="80"/>
  <c r="L26" i="80"/>
  <c r="M26" i="80"/>
  <c r="N26" i="80"/>
  <c r="O26" i="80"/>
  <c r="P26" i="80"/>
  <c r="Q26" i="80"/>
  <c r="B27" i="80"/>
  <c r="C27" i="80"/>
  <c r="D27" i="80"/>
  <c r="E27" i="80"/>
  <c r="F27" i="80"/>
  <c r="G27" i="80"/>
  <c r="H27" i="80"/>
  <c r="I27" i="80"/>
  <c r="J27" i="80"/>
  <c r="K27" i="80"/>
  <c r="L27" i="80"/>
  <c r="M27" i="80"/>
  <c r="N27" i="80"/>
  <c r="O27" i="80"/>
  <c r="P27" i="80"/>
  <c r="Q27" i="80"/>
  <c r="B28" i="80"/>
  <c r="C28" i="80"/>
  <c r="D28" i="80"/>
  <c r="E28" i="80"/>
  <c r="F28" i="80"/>
  <c r="G28" i="80"/>
  <c r="H28" i="80"/>
  <c r="I28" i="80"/>
  <c r="J28" i="80"/>
  <c r="K28" i="80"/>
  <c r="L28" i="80"/>
  <c r="M28" i="80"/>
  <c r="N28" i="80"/>
  <c r="O28" i="80"/>
  <c r="P28" i="80"/>
  <c r="Q28" i="80"/>
  <c r="B29" i="80"/>
  <c r="C29" i="80"/>
  <c r="D29" i="80"/>
  <c r="E29" i="80"/>
  <c r="F29" i="80"/>
  <c r="G29" i="80"/>
  <c r="H29" i="80"/>
  <c r="I29" i="80"/>
  <c r="J29" i="80"/>
  <c r="K29" i="80"/>
  <c r="L29" i="80"/>
  <c r="M29" i="80"/>
  <c r="N29" i="80"/>
  <c r="O29" i="80"/>
  <c r="P29" i="80"/>
  <c r="Q29" i="80"/>
  <c r="B30" i="80"/>
  <c r="C30" i="80"/>
  <c r="D30" i="80"/>
  <c r="E30" i="80"/>
  <c r="F30" i="80"/>
  <c r="G30" i="80"/>
  <c r="H30" i="80"/>
  <c r="I30" i="80"/>
  <c r="J30" i="80"/>
  <c r="K30" i="80"/>
  <c r="L30" i="80"/>
  <c r="M30" i="80"/>
  <c r="N30" i="80"/>
  <c r="O30" i="80"/>
  <c r="P30" i="80"/>
  <c r="Q30" i="80"/>
  <c r="B31" i="80"/>
  <c r="C31" i="80"/>
  <c r="D31" i="80"/>
  <c r="E31" i="80"/>
  <c r="F31" i="80"/>
  <c r="G31" i="80"/>
  <c r="H31" i="80"/>
  <c r="I31" i="80"/>
  <c r="J31" i="80"/>
  <c r="K31" i="80"/>
  <c r="L31" i="80"/>
  <c r="M31" i="80"/>
  <c r="N31" i="80"/>
  <c r="O31" i="80"/>
  <c r="P31" i="80"/>
  <c r="Q31" i="80"/>
  <c r="B32" i="80"/>
  <c r="C32" i="80"/>
  <c r="D32" i="80"/>
  <c r="E32" i="80"/>
  <c r="F32" i="80"/>
  <c r="G32" i="80"/>
  <c r="H32" i="80"/>
  <c r="I32" i="80"/>
  <c r="J32" i="80"/>
  <c r="K32" i="80"/>
  <c r="L32" i="80"/>
  <c r="M32" i="80"/>
  <c r="N32" i="80"/>
  <c r="O32" i="80"/>
  <c r="P32" i="80"/>
  <c r="Q32" i="80"/>
  <c r="B33" i="80"/>
  <c r="C33" i="80"/>
  <c r="D33" i="80"/>
  <c r="E33" i="80"/>
  <c r="F33" i="80"/>
  <c r="G33" i="80"/>
  <c r="H33" i="80"/>
  <c r="I33" i="80"/>
  <c r="J33" i="80"/>
  <c r="K33" i="80"/>
  <c r="L33" i="80"/>
  <c r="M33" i="80"/>
  <c r="N33" i="80"/>
  <c r="O33" i="80"/>
  <c r="P33" i="80"/>
  <c r="Q33" i="80"/>
  <c r="B34" i="80"/>
  <c r="C34" i="80"/>
  <c r="D34" i="80"/>
  <c r="E34" i="80"/>
  <c r="F34" i="80"/>
  <c r="G34" i="80"/>
  <c r="H34" i="80"/>
  <c r="I34" i="80"/>
  <c r="J34" i="80"/>
  <c r="K34" i="80"/>
  <c r="L34" i="80"/>
  <c r="M34" i="80"/>
  <c r="N34" i="80"/>
  <c r="O34" i="80"/>
  <c r="P34" i="80"/>
  <c r="Q34" i="80"/>
  <c r="B35" i="80"/>
  <c r="C35" i="80"/>
  <c r="D35" i="80"/>
  <c r="E35" i="80"/>
  <c r="F35" i="80"/>
  <c r="G35" i="80"/>
  <c r="H35" i="80"/>
  <c r="I35" i="80"/>
  <c r="J35" i="80"/>
  <c r="K35" i="80"/>
  <c r="L35" i="80"/>
  <c r="M35" i="80"/>
  <c r="N35" i="80"/>
  <c r="O35" i="80"/>
  <c r="P35" i="80"/>
  <c r="Q35" i="80"/>
  <c r="B36" i="80"/>
  <c r="C36" i="80"/>
  <c r="D36" i="80"/>
  <c r="E36" i="80"/>
  <c r="F36" i="80"/>
  <c r="G36" i="80"/>
  <c r="H36" i="80"/>
  <c r="I36" i="80"/>
  <c r="J36" i="80"/>
  <c r="K36" i="80"/>
  <c r="L36" i="80"/>
  <c r="M36" i="80"/>
  <c r="N36" i="80"/>
  <c r="O36" i="80"/>
  <c r="P36" i="80"/>
  <c r="Q36" i="80"/>
  <c r="B37" i="80"/>
  <c r="C37" i="80"/>
  <c r="D37" i="80"/>
  <c r="E37" i="80"/>
  <c r="F37" i="80"/>
  <c r="G37" i="80"/>
  <c r="H37" i="80"/>
  <c r="I37" i="80"/>
  <c r="J37" i="80"/>
  <c r="K37" i="80"/>
  <c r="L37" i="80"/>
  <c r="M37" i="80"/>
  <c r="N37" i="80"/>
  <c r="O37" i="80"/>
  <c r="P37" i="80"/>
  <c r="Q37" i="80"/>
  <c r="B38" i="80"/>
  <c r="C38" i="80"/>
  <c r="D38" i="80"/>
  <c r="E38" i="80"/>
  <c r="F38" i="80"/>
  <c r="G38" i="80"/>
  <c r="H38" i="80"/>
  <c r="I38" i="80"/>
  <c r="J38" i="80"/>
  <c r="K38" i="80"/>
  <c r="L38" i="80"/>
  <c r="M38" i="80"/>
  <c r="N38" i="80"/>
  <c r="O38" i="80"/>
  <c r="P38" i="80"/>
  <c r="Q38" i="80"/>
  <c r="B39" i="80"/>
  <c r="C39" i="80"/>
  <c r="D39" i="80"/>
  <c r="E39" i="80"/>
  <c r="F39" i="80"/>
  <c r="G39" i="80"/>
  <c r="H39" i="80"/>
  <c r="I39" i="80"/>
  <c r="J39" i="80"/>
  <c r="K39" i="80"/>
  <c r="L39" i="80"/>
  <c r="M39" i="80"/>
  <c r="N39" i="80"/>
  <c r="O39" i="80"/>
  <c r="P39" i="80"/>
  <c r="Q39" i="80"/>
  <c r="B40" i="80"/>
  <c r="C40" i="80"/>
  <c r="D40" i="80"/>
  <c r="E40" i="80"/>
  <c r="F40" i="80"/>
  <c r="G40" i="80"/>
  <c r="H40" i="80"/>
  <c r="I40" i="80"/>
  <c r="J40" i="80"/>
  <c r="K40" i="80"/>
  <c r="L40" i="80"/>
  <c r="M40" i="80"/>
  <c r="N40" i="80"/>
  <c r="O40" i="80"/>
  <c r="P40" i="80"/>
  <c r="Q40" i="80"/>
  <c r="B41" i="80"/>
  <c r="C41" i="80"/>
  <c r="D41" i="80"/>
  <c r="E41" i="80"/>
  <c r="F41" i="80"/>
  <c r="G41" i="80"/>
  <c r="H41" i="80"/>
  <c r="I41" i="80"/>
  <c r="J41" i="80"/>
  <c r="K41" i="80"/>
  <c r="L41" i="80"/>
  <c r="M41" i="80"/>
  <c r="N41" i="80"/>
  <c r="O41" i="80"/>
  <c r="P41" i="80"/>
  <c r="Q41" i="80"/>
  <c r="B42" i="80"/>
  <c r="C42" i="80"/>
  <c r="D42" i="80"/>
  <c r="E42" i="80"/>
  <c r="F42" i="80"/>
  <c r="G42" i="80"/>
  <c r="H42" i="80"/>
  <c r="I42" i="80"/>
  <c r="J42" i="80"/>
  <c r="K42" i="80"/>
  <c r="L42" i="80"/>
  <c r="M42" i="80"/>
  <c r="N42" i="80"/>
  <c r="O42" i="80"/>
  <c r="P42" i="80"/>
  <c r="Q42" i="80"/>
  <c r="B43" i="80"/>
  <c r="C43" i="80"/>
  <c r="D43" i="80"/>
  <c r="E43" i="80"/>
  <c r="F43" i="80"/>
  <c r="G43" i="80"/>
  <c r="H43" i="80"/>
  <c r="I43" i="80"/>
  <c r="J43" i="80"/>
  <c r="K43" i="80"/>
  <c r="L43" i="80"/>
  <c r="M43" i="80"/>
  <c r="N43" i="80"/>
  <c r="O43" i="80"/>
  <c r="P43" i="80"/>
  <c r="Q43" i="80"/>
  <c r="B44" i="80"/>
  <c r="C44" i="80"/>
  <c r="D44" i="80"/>
  <c r="E44" i="80"/>
  <c r="F44" i="80"/>
  <c r="G44" i="80"/>
  <c r="H44" i="80"/>
  <c r="I44" i="80"/>
  <c r="J44" i="80"/>
  <c r="K44" i="80"/>
  <c r="L44" i="80"/>
  <c r="M44" i="80"/>
  <c r="N44" i="80"/>
  <c r="O44" i="80"/>
  <c r="P44" i="80"/>
  <c r="Q44" i="80"/>
  <c r="B45" i="80"/>
  <c r="C45" i="80"/>
  <c r="D45" i="80"/>
  <c r="E45" i="80"/>
  <c r="F45" i="80"/>
  <c r="G45" i="80"/>
  <c r="H45" i="80"/>
  <c r="I45" i="80"/>
  <c r="J45" i="80"/>
  <c r="K45" i="80"/>
  <c r="L45" i="80"/>
  <c r="M45" i="80"/>
  <c r="N45" i="80"/>
  <c r="O45" i="80"/>
  <c r="P45" i="80"/>
  <c r="Q45" i="80"/>
  <c r="B46" i="80"/>
  <c r="C46" i="80"/>
  <c r="D46" i="80"/>
  <c r="E46" i="80"/>
  <c r="F46" i="80"/>
  <c r="G46" i="80"/>
  <c r="H46" i="80"/>
  <c r="I46" i="80"/>
  <c r="J46" i="80"/>
  <c r="K46" i="80"/>
  <c r="L46" i="80"/>
  <c r="M46" i="80"/>
  <c r="N46" i="80"/>
  <c r="O46" i="80"/>
  <c r="P46" i="80"/>
  <c r="Q46" i="80"/>
  <c r="B47" i="80"/>
  <c r="C47" i="80"/>
  <c r="D47" i="80"/>
  <c r="E47" i="80"/>
  <c r="F47" i="80"/>
  <c r="G47" i="80"/>
  <c r="H47" i="80"/>
  <c r="I47" i="80"/>
  <c r="J47" i="80"/>
  <c r="K47" i="80"/>
  <c r="L47" i="80"/>
  <c r="M47" i="80"/>
  <c r="N47" i="80"/>
  <c r="O47" i="80"/>
  <c r="P47" i="80"/>
  <c r="Q47" i="80"/>
  <c r="B48" i="80"/>
  <c r="C48" i="80"/>
  <c r="D48" i="80"/>
  <c r="E48" i="80"/>
  <c r="F48" i="80"/>
  <c r="G48" i="80"/>
  <c r="H48" i="80"/>
  <c r="I48" i="80"/>
  <c r="J48" i="80"/>
  <c r="K48" i="80"/>
  <c r="L48" i="80"/>
  <c r="M48" i="80"/>
  <c r="N48" i="80"/>
  <c r="O48" i="80"/>
  <c r="P48" i="80"/>
  <c r="Q48" i="80"/>
  <c r="B49" i="80"/>
  <c r="C49" i="80"/>
  <c r="D49" i="80"/>
  <c r="E49" i="80"/>
  <c r="F49" i="80"/>
  <c r="G49" i="80"/>
  <c r="H49" i="80"/>
  <c r="I49" i="80"/>
  <c r="J49" i="80"/>
  <c r="K49" i="80"/>
  <c r="L49" i="80"/>
  <c r="M49" i="80"/>
  <c r="N49" i="80"/>
  <c r="O49" i="80"/>
  <c r="P49" i="80"/>
  <c r="Q49" i="80"/>
  <c r="B50" i="80"/>
  <c r="C50" i="80"/>
  <c r="D50" i="80"/>
  <c r="E50" i="80"/>
  <c r="F50" i="80"/>
  <c r="G50" i="80"/>
  <c r="H50" i="80"/>
  <c r="I50" i="80"/>
  <c r="J50" i="80"/>
  <c r="K50" i="80"/>
  <c r="L50" i="80"/>
  <c r="M50" i="80"/>
  <c r="N50" i="80"/>
  <c r="O50" i="80"/>
  <c r="P50" i="80"/>
  <c r="Q50" i="80"/>
  <c r="B51" i="80"/>
  <c r="C51" i="80"/>
  <c r="D51" i="80"/>
  <c r="E51" i="80"/>
  <c r="F51" i="80"/>
  <c r="G51" i="80"/>
  <c r="H51" i="80"/>
  <c r="I51" i="80"/>
  <c r="J51" i="80"/>
  <c r="K51" i="80"/>
  <c r="L51" i="80"/>
  <c r="M51" i="80"/>
  <c r="N51" i="80"/>
  <c r="O51" i="80"/>
  <c r="P51" i="80"/>
  <c r="Q51" i="80"/>
  <c r="B52" i="80"/>
  <c r="C52" i="80"/>
  <c r="D52" i="80"/>
  <c r="E52" i="80"/>
  <c r="F52" i="80"/>
  <c r="G52" i="80"/>
  <c r="H52" i="80"/>
  <c r="I52" i="80"/>
  <c r="J52" i="80"/>
  <c r="K52" i="80"/>
  <c r="L52" i="80"/>
  <c r="M52" i="80"/>
  <c r="N52" i="80"/>
  <c r="O52" i="80"/>
  <c r="P52" i="80"/>
  <c r="Q52" i="80"/>
  <c r="B53" i="80"/>
  <c r="C53" i="80"/>
  <c r="D53" i="80"/>
  <c r="E53" i="80"/>
  <c r="F53" i="80"/>
  <c r="G53" i="80"/>
  <c r="H53" i="80"/>
  <c r="I53" i="80"/>
  <c r="J53" i="80"/>
  <c r="K53" i="80"/>
  <c r="L53" i="80"/>
  <c r="M53" i="80"/>
  <c r="N53" i="80"/>
  <c r="O53" i="80"/>
  <c r="P53" i="80"/>
  <c r="Q53" i="80"/>
  <c r="B54" i="80"/>
  <c r="C54" i="80"/>
  <c r="D54" i="80"/>
  <c r="E54" i="80"/>
  <c r="F54" i="80"/>
  <c r="G54" i="80"/>
  <c r="H54" i="80"/>
  <c r="I54" i="80"/>
  <c r="J54" i="80"/>
  <c r="K54" i="80"/>
  <c r="L54" i="80"/>
  <c r="M54" i="80"/>
  <c r="N54" i="80"/>
  <c r="O54" i="80"/>
  <c r="P54" i="80"/>
  <c r="Q54" i="80"/>
  <c r="B55" i="80"/>
  <c r="C55" i="80"/>
  <c r="D55" i="80"/>
  <c r="E55" i="80"/>
  <c r="F55" i="80"/>
  <c r="G55" i="80"/>
  <c r="H55" i="80"/>
  <c r="I55" i="80"/>
  <c r="J55" i="80"/>
  <c r="K55" i="80"/>
  <c r="L55" i="80"/>
  <c r="M55" i="80"/>
  <c r="N55" i="80"/>
  <c r="O55" i="80"/>
  <c r="P55" i="80"/>
  <c r="Q55" i="80"/>
  <c r="B56" i="80"/>
  <c r="C56" i="80"/>
  <c r="D56" i="80"/>
  <c r="E56" i="80"/>
  <c r="F56" i="80"/>
  <c r="G56" i="80"/>
  <c r="H56" i="80"/>
  <c r="I56" i="80"/>
  <c r="J56" i="80"/>
  <c r="K56" i="80"/>
  <c r="L56" i="80"/>
  <c r="M56" i="80"/>
  <c r="N56" i="80"/>
  <c r="O56" i="80"/>
  <c r="P56" i="80"/>
  <c r="Q56" i="80"/>
  <c r="B57" i="80"/>
  <c r="C57" i="80"/>
  <c r="D57" i="80"/>
  <c r="E57" i="80"/>
  <c r="F57" i="80"/>
  <c r="G57" i="80"/>
  <c r="H57" i="80"/>
  <c r="I57" i="80"/>
  <c r="J57" i="80"/>
  <c r="K57" i="80"/>
  <c r="L57" i="80"/>
  <c r="M57" i="80"/>
  <c r="N57" i="80"/>
  <c r="O57" i="80"/>
  <c r="P57" i="80"/>
  <c r="Q57" i="80"/>
  <c r="B58" i="80"/>
  <c r="C58" i="80"/>
  <c r="D58" i="80"/>
  <c r="E58" i="80"/>
  <c r="F58" i="80"/>
  <c r="G58" i="80"/>
  <c r="H58" i="80"/>
  <c r="I58" i="80"/>
  <c r="J58" i="80"/>
  <c r="K58" i="80"/>
  <c r="L58" i="80"/>
  <c r="M58" i="80"/>
  <c r="N58" i="80"/>
  <c r="O58" i="80"/>
  <c r="P58" i="80"/>
  <c r="Q58" i="80"/>
  <c r="B59" i="80"/>
  <c r="C59" i="80"/>
  <c r="D59" i="80"/>
  <c r="E59" i="80"/>
  <c r="F59" i="80"/>
  <c r="G59" i="80"/>
  <c r="H59" i="80"/>
  <c r="I59" i="80"/>
  <c r="J59" i="80"/>
  <c r="K59" i="80"/>
  <c r="L59" i="80"/>
  <c r="M59" i="80"/>
  <c r="N59" i="80"/>
  <c r="O59" i="80"/>
  <c r="P59" i="80"/>
  <c r="Q59" i="80"/>
  <c r="B60" i="80"/>
  <c r="C60" i="80"/>
  <c r="D60" i="80"/>
  <c r="E60" i="80"/>
  <c r="F60" i="80"/>
  <c r="G60" i="80"/>
  <c r="H60" i="80"/>
  <c r="I60" i="80"/>
  <c r="J60" i="80"/>
  <c r="K60" i="80"/>
  <c r="L60" i="80"/>
  <c r="M60" i="80"/>
  <c r="N60" i="80"/>
  <c r="O60" i="80"/>
  <c r="P60" i="80"/>
  <c r="Q60" i="80"/>
  <c r="B61" i="80"/>
  <c r="C61" i="80"/>
  <c r="D61" i="80"/>
  <c r="E61" i="80"/>
  <c r="F61" i="80"/>
  <c r="G61" i="80"/>
  <c r="H61" i="80"/>
  <c r="I61" i="80"/>
  <c r="J61" i="80"/>
  <c r="K61" i="80"/>
  <c r="L61" i="80"/>
  <c r="M61" i="80"/>
  <c r="N61" i="80"/>
  <c r="O61" i="80"/>
  <c r="P61" i="80"/>
  <c r="Q61" i="80"/>
  <c r="B62" i="80"/>
  <c r="C62" i="80"/>
  <c r="D62" i="80"/>
  <c r="E62" i="80"/>
  <c r="F62" i="80"/>
  <c r="G62" i="80"/>
  <c r="H62" i="80"/>
  <c r="I62" i="80"/>
  <c r="J62" i="80"/>
  <c r="K62" i="80"/>
  <c r="L62" i="80"/>
  <c r="M62" i="80"/>
  <c r="N62" i="80"/>
  <c r="O62" i="80"/>
  <c r="P62" i="80"/>
  <c r="Q62" i="80"/>
  <c r="B63" i="80"/>
  <c r="C63" i="80"/>
  <c r="D63" i="80"/>
  <c r="E63" i="80"/>
  <c r="F63" i="80"/>
  <c r="G63" i="80"/>
  <c r="H63" i="80"/>
  <c r="I63" i="80"/>
  <c r="J63" i="80"/>
  <c r="K63" i="80"/>
  <c r="L63" i="80"/>
  <c r="M63" i="80"/>
  <c r="N63" i="80"/>
  <c r="O63" i="80"/>
  <c r="P63" i="80"/>
  <c r="Q63" i="80"/>
  <c r="B64" i="80"/>
  <c r="C64" i="80"/>
  <c r="D64" i="80"/>
  <c r="E64" i="80"/>
  <c r="F64" i="80"/>
  <c r="G64" i="80"/>
  <c r="H64" i="80"/>
  <c r="I64" i="80"/>
  <c r="J64" i="80"/>
  <c r="K64" i="80"/>
  <c r="L64" i="80"/>
  <c r="M64" i="80"/>
  <c r="N64" i="80"/>
  <c r="O64" i="80"/>
  <c r="P64" i="80"/>
  <c r="Q64" i="80"/>
  <c r="B65" i="80"/>
  <c r="C65" i="80"/>
  <c r="D65" i="80"/>
  <c r="E65" i="80"/>
  <c r="F65" i="80"/>
  <c r="G65" i="80"/>
  <c r="H65" i="80"/>
  <c r="I65" i="80"/>
  <c r="J65" i="80"/>
  <c r="K65" i="80"/>
  <c r="L65" i="80"/>
  <c r="M65" i="80"/>
  <c r="N65" i="80"/>
  <c r="O65" i="80"/>
  <c r="P65" i="80"/>
  <c r="Q65" i="80"/>
  <c r="B66" i="80"/>
  <c r="C66" i="80"/>
  <c r="D66" i="80"/>
  <c r="E66" i="80"/>
  <c r="F66" i="80"/>
  <c r="G66" i="80"/>
  <c r="H66" i="80"/>
  <c r="I66" i="80"/>
  <c r="J66" i="80"/>
  <c r="K66" i="80"/>
  <c r="L66" i="80"/>
  <c r="M66" i="80"/>
  <c r="N66" i="80"/>
  <c r="O66" i="80"/>
  <c r="P66" i="80"/>
  <c r="Q66" i="80"/>
  <c r="B67" i="80"/>
  <c r="C67" i="80"/>
  <c r="D67" i="80"/>
  <c r="E67" i="80"/>
  <c r="F67" i="80"/>
  <c r="G67" i="80"/>
  <c r="H67" i="80"/>
  <c r="I67" i="80"/>
  <c r="J67" i="80"/>
  <c r="K67" i="80"/>
  <c r="L67" i="80"/>
  <c r="M67" i="80"/>
  <c r="N67" i="80"/>
  <c r="O67" i="80"/>
  <c r="P67" i="80"/>
  <c r="Q67" i="80"/>
  <c r="B68" i="80"/>
  <c r="C68" i="80"/>
  <c r="D68" i="80"/>
  <c r="E68" i="80"/>
  <c r="F68" i="80"/>
  <c r="G68" i="80"/>
  <c r="H68" i="80"/>
  <c r="I68" i="80"/>
  <c r="J68" i="80"/>
  <c r="K68" i="80"/>
  <c r="L68" i="80"/>
  <c r="M68" i="80"/>
  <c r="N68" i="80"/>
  <c r="O68" i="80"/>
  <c r="P68" i="80"/>
  <c r="Q68" i="80"/>
  <c r="B69" i="80"/>
  <c r="C69" i="80"/>
  <c r="D69" i="80"/>
  <c r="E69" i="80"/>
  <c r="F69" i="80"/>
  <c r="G69" i="80"/>
  <c r="H69" i="80"/>
  <c r="I69" i="80"/>
  <c r="J69" i="80"/>
  <c r="K69" i="80"/>
  <c r="L69" i="80"/>
  <c r="M69" i="80"/>
  <c r="N69" i="80"/>
  <c r="O69" i="80"/>
  <c r="P69" i="80"/>
  <c r="Q69" i="80"/>
  <c r="B70" i="80"/>
  <c r="C70" i="80"/>
  <c r="D70" i="80"/>
  <c r="E70" i="80"/>
  <c r="F70" i="80"/>
  <c r="G70" i="80"/>
  <c r="H70" i="80"/>
  <c r="I70" i="80"/>
  <c r="J70" i="80"/>
  <c r="K70" i="80"/>
  <c r="L70" i="80"/>
  <c r="M70" i="80"/>
  <c r="N70" i="80"/>
  <c r="O70" i="80"/>
  <c r="P70" i="80"/>
  <c r="Q70" i="80"/>
  <c r="B71" i="80"/>
  <c r="C71" i="80"/>
  <c r="D71" i="80"/>
  <c r="E71" i="80"/>
  <c r="F71" i="80"/>
  <c r="G71" i="80"/>
  <c r="H71" i="80"/>
  <c r="I71" i="80"/>
  <c r="J71" i="80"/>
  <c r="K71" i="80"/>
  <c r="L71" i="80"/>
  <c r="M71" i="80"/>
  <c r="N71" i="80"/>
  <c r="O71" i="80"/>
  <c r="P71" i="80"/>
  <c r="Q71" i="80"/>
  <c r="B72" i="80"/>
  <c r="C72" i="80"/>
  <c r="D72" i="80"/>
  <c r="E72" i="80"/>
  <c r="F72" i="80"/>
  <c r="G72" i="80"/>
  <c r="H72" i="80"/>
  <c r="I72" i="80"/>
  <c r="J72" i="80"/>
  <c r="K72" i="80"/>
  <c r="L72" i="80"/>
  <c r="M72" i="80"/>
  <c r="N72" i="80"/>
  <c r="O72" i="80"/>
  <c r="P72" i="80"/>
  <c r="Q72" i="80"/>
  <c r="B73" i="80"/>
  <c r="C73" i="80"/>
  <c r="D73" i="80"/>
  <c r="E73" i="80"/>
  <c r="F73" i="80"/>
  <c r="G73" i="80"/>
  <c r="H73" i="80"/>
  <c r="I73" i="80"/>
  <c r="J73" i="80"/>
  <c r="K73" i="80"/>
  <c r="L73" i="80"/>
  <c r="M73" i="80"/>
  <c r="N73" i="80"/>
  <c r="O73" i="80"/>
  <c r="P73" i="80"/>
  <c r="Q73" i="80"/>
  <c r="B74" i="80"/>
  <c r="C74" i="80"/>
  <c r="D74" i="80"/>
  <c r="E74" i="80"/>
  <c r="F74" i="80"/>
  <c r="G74" i="80"/>
  <c r="H74" i="80"/>
  <c r="I74" i="80"/>
  <c r="J74" i="80"/>
  <c r="K74" i="80"/>
  <c r="L74" i="80"/>
  <c r="M74" i="80"/>
  <c r="N74" i="80"/>
  <c r="O74" i="80"/>
  <c r="P74" i="80"/>
  <c r="Q74" i="80"/>
  <c r="B75" i="80"/>
  <c r="C75" i="80"/>
  <c r="D75" i="80"/>
  <c r="E75" i="80"/>
  <c r="F75" i="80"/>
  <c r="G75" i="80"/>
  <c r="H75" i="80"/>
  <c r="I75" i="80"/>
  <c r="J75" i="80"/>
  <c r="K75" i="80"/>
  <c r="L75" i="80"/>
  <c r="M75" i="80"/>
  <c r="N75" i="80"/>
  <c r="O75" i="80"/>
  <c r="P75" i="80"/>
  <c r="Q75" i="80"/>
  <c r="B76" i="80"/>
  <c r="C76" i="80"/>
  <c r="D76" i="80"/>
  <c r="E76" i="80"/>
  <c r="F76" i="80"/>
  <c r="G76" i="80"/>
  <c r="H76" i="80"/>
  <c r="I76" i="80"/>
  <c r="J76" i="80"/>
  <c r="K76" i="80"/>
  <c r="L76" i="80"/>
  <c r="M76" i="80"/>
  <c r="N76" i="80"/>
  <c r="O76" i="80"/>
  <c r="P76" i="80"/>
  <c r="Q76" i="80"/>
  <c r="B77" i="80"/>
  <c r="C77" i="80"/>
  <c r="D77" i="80"/>
  <c r="E77" i="80"/>
  <c r="F77" i="80"/>
  <c r="G77" i="80"/>
  <c r="H77" i="80"/>
  <c r="I77" i="80"/>
  <c r="J77" i="80"/>
  <c r="K77" i="80"/>
  <c r="L77" i="80"/>
  <c r="M77" i="80"/>
  <c r="N77" i="80"/>
  <c r="O77" i="80"/>
  <c r="P77" i="80"/>
  <c r="Q77" i="80"/>
  <c r="B78" i="80"/>
  <c r="C78" i="80"/>
  <c r="D78" i="80"/>
  <c r="E78" i="80"/>
  <c r="F78" i="80"/>
  <c r="G78" i="80"/>
  <c r="H78" i="80"/>
  <c r="I78" i="80"/>
  <c r="J78" i="80"/>
  <c r="K78" i="80"/>
  <c r="L78" i="80"/>
  <c r="M78" i="80"/>
  <c r="N78" i="80"/>
  <c r="O78" i="80"/>
  <c r="P78" i="80"/>
  <c r="Q78" i="80"/>
  <c r="B79" i="80"/>
  <c r="C79" i="80"/>
  <c r="D79" i="80"/>
  <c r="E79" i="80"/>
  <c r="F79" i="80"/>
  <c r="G79" i="80"/>
  <c r="H79" i="80"/>
  <c r="I79" i="80"/>
  <c r="J79" i="80"/>
  <c r="K79" i="80"/>
  <c r="L79" i="80"/>
  <c r="M79" i="80"/>
  <c r="N79" i="80"/>
  <c r="O79" i="80"/>
  <c r="P79" i="80"/>
  <c r="Q79" i="80"/>
  <c r="B80" i="80"/>
  <c r="C80" i="80"/>
  <c r="D80" i="80"/>
  <c r="E80" i="80"/>
  <c r="F80" i="80"/>
  <c r="G80" i="80"/>
  <c r="H80" i="80"/>
  <c r="I80" i="80"/>
  <c r="J80" i="80"/>
  <c r="K80" i="80"/>
  <c r="L80" i="80"/>
  <c r="M80" i="80"/>
  <c r="N80" i="80"/>
  <c r="O80" i="80"/>
  <c r="P80" i="80"/>
  <c r="Q80" i="80"/>
  <c r="B81" i="80"/>
  <c r="C81" i="80"/>
  <c r="D81" i="80"/>
  <c r="E81" i="80"/>
  <c r="F81" i="80"/>
  <c r="G81" i="80"/>
  <c r="H81" i="80"/>
  <c r="I81" i="80"/>
  <c r="J81" i="80"/>
  <c r="K81" i="80"/>
  <c r="L81" i="80"/>
  <c r="M81" i="80"/>
  <c r="N81" i="80"/>
  <c r="O81" i="80"/>
  <c r="P81" i="80"/>
  <c r="Q81" i="80"/>
  <c r="B82" i="80"/>
  <c r="C82" i="80"/>
  <c r="D82" i="80"/>
  <c r="E82" i="80"/>
  <c r="F82" i="80"/>
  <c r="G82" i="80"/>
  <c r="H82" i="80"/>
  <c r="I82" i="80"/>
  <c r="J82" i="80"/>
  <c r="K82" i="80"/>
  <c r="L82" i="80"/>
  <c r="M82" i="80"/>
  <c r="N82" i="80"/>
  <c r="O82" i="80"/>
  <c r="P82" i="80"/>
  <c r="Q82" i="80"/>
  <c r="B83" i="80"/>
  <c r="C83" i="80"/>
  <c r="D83" i="80"/>
  <c r="E83" i="80"/>
  <c r="F83" i="80"/>
  <c r="G83" i="80"/>
  <c r="H83" i="80"/>
  <c r="I83" i="80"/>
  <c r="J83" i="80"/>
  <c r="K83" i="80"/>
  <c r="L83" i="80"/>
  <c r="M83" i="80"/>
  <c r="N83" i="80"/>
  <c r="O83" i="80"/>
  <c r="P83" i="80"/>
  <c r="Q83" i="80"/>
  <c r="B84" i="80"/>
  <c r="C84" i="80"/>
  <c r="D84" i="80"/>
  <c r="E84" i="80"/>
  <c r="F84" i="80"/>
  <c r="G84" i="80"/>
  <c r="H84" i="80"/>
  <c r="I84" i="80"/>
  <c r="J84" i="80"/>
  <c r="K84" i="80"/>
  <c r="L84" i="80"/>
  <c r="M84" i="80"/>
  <c r="N84" i="80"/>
  <c r="O84" i="80"/>
  <c r="P84" i="80"/>
  <c r="Q84" i="80"/>
  <c r="B85" i="80"/>
  <c r="C85" i="80"/>
  <c r="D85" i="80"/>
  <c r="E85" i="80"/>
  <c r="F85" i="80"/>
  <c r="G85" i="80"/>
  <c r="H85" i="80"/>
  <c r="I85" i="80"/>
  <c r="J85" i="80"/>
  <c r="K85" i="80"/>
  <c r="L85" i="80"/>
  <c r="M85" i="80"/>
  <c r="N85" i="80"/>
  <c r="O85" i="80"/>
  <c r="P85" i="80"/>
  <c r="Q85" i="80"/>
  <c r="B86" i="80"/>
  <c r="C86" i="80"/>
  <c r="D86" i="80"/>
  <c r="E86" i="80"/>
  <c r="F86" i="80"/>
  <c r="G86" i="80"/>
  <c r="H86" i="80"/>
  <c r="I86" i="80"/>
  <c r="J86" i="80"/>
  <c r="K86" i="80"/>
  <c r="L86" i="80"/>
  <c r="M86" i="80"/>
  <c r="N86" i="80"/>
  <c r="O86" i="80"/>
  <c r="P86" i="80"/>
  <c r="Q86" i="80"/>
  <c r="B87" i="80"/>
  <c r="C87" i="80"/>
  <c r="D87" i="80"/>
  <c r="E87" i="80"/>
  <c r="F87" i="80"/>
  <c r="G87" i="80"/>
  <c r="H87" i="80"/>
  <c r="I87" i="80"/>
  <c r="J87" i="80"/>
  <c r="K87" i="80"/>
  <c r="L87" i="80"/>
  <c r="M87" i="80"/>
  <c r="N87" i="80"/>
  <c r="O87" i="80"/>
  <c r="P87" i="80"/>
  <c r="Q87" i="80"/>
  <c r="B88" i="80"/>
  <c r="C88" i="80"/>
  <c r="D88" i="80"/>
  <c r="E88" i="80"/>
  <c r="F88" i="80"/>
  <c r="G88" i="80"/>
  <c r="H88" i="80"/>
  <c r="I88" i="80"/>
  <c r="J88" i="80"/>
  <c r="K88" i="80"/>
  <c r="L88" i="80"/>
  <c r="M88" i="80"/>
  <c r="N88" i="80"/>
  <c r="O88" i="80"/>
  <c r="P88" i="80"/>
  <c r="Q88" i="80"/>
  <c r="A3" i="80" l="1"/>
  <c r="A4" i="80" s="1"/>
  <c r="A5" i="80"/>
  <c r="A6" i="80" l="1"/>
  <c r="A7" i="80" l="1"/>
  <c r="A8" i="80" l="1"/>
  <c r="H6" i="78"/>
  <c r="S69" i="108" s="1"/>
  <c r="C73" i="108" s="1"/>
  <c r="K20" i="78"/>
  <c r="H20" i="78"/>
  <c r="I20" i="78" s="1"/>
  <c r="D20" i="78"/>
  <c r="K19" i="78"/>
  <c r="H19" i="78"/>
  <c r="R19" i="78" s="1"/>
  <c r="D19" i="78"/>
  <c r="K18" i="78"/>
  <c r="H18" i="78"/>
  <c r="R18" i="78" s="1"/>
  <c r="D18" i="78"/>
  <c r="R17" i="78"/>
  <c r="P17" i="78"/>
  <c r="Q17" i="78" s="1"/>
  <c r="N17" i="78"/>
  <c r="O17" i="78" s="1"/>
  <c r="L17" i="78"/>
  <c r="K17" i="78"/>
  <c r="J17" i="78"/>
  <c r="I17" i="78"/>
  <c r="C17" i="78"/>
  <c r="M17" i="78" s="1"/>
  <c r="R16" i="78"/>
  <c r="P16" i="78"/>
  <c r="Q16" i="78" s="1"/>
  <c r="N16" i="78"/>
  <c r="O16" i="78" s="1"/>
  <c r="L16" i="78"/>
  <c r="K16" i="78"/>
  <c r="J16" i="78"/>
  <c r="I16" i="78"/>
  <c r="C16" i="78"/>
  <c r="M16" i="78" s="1"/>
  <c r="R15" i="78"/>
  <c r="P15" i="78"/>
  <c r="Q15" i="78" s="1"/>
  <c r="N15" i="78"/>
  <c r="O15" i="78" s="1"/>
  <c r="L15" i="78"/>
  <c r="K15" i="78"/>
  <c r="J15" i="78"/>
  <c r="I15" i="78"/>
  <c r="C15" i="78"/>
  <c r="M15" i="78" s="1"/>
  <c r="R14" i="78"/>
  <c r="P14" i="78"/>
  <c r="Q14" i="78" s="1"/>
  <c r="N14" i="78"/>
  <c r="O14" i="78" s="1"/>
  <c r="L14" i="78"/>
  <c r="K14" i="78"/>
  <c r="J14" i="78"/>
  <c r="I14" i="78"/>
  <c r="C14" i="78"/>
  <c r="M14" i="78" s="1"/>
  <c r="R13" i="78"/>
  <c r="P13" i="78"/>
  <c r="Q13" i="78" s="1"/>
  <c r="N13" i="78"/>
  <c r="O13" i="78" s="1"/>
  <c r="L13" i="78"/>
  <c r="K13" i="78"/>
  <c r="J13" i="78"/>
  <c r="I13" i="78"/>
  <c r="C13" i="78"/>
  <c r="M13" i="78" s="1"/>
  <c r="R12" i="78"/>
  <c r="P12" i="78"/>
  <c r="Q12" i="78" s="1"/>
  <c r="N12" i="78"/>
  <c r="O12" i="78" s="1"/>
  <c r="L12" i="78"/>
  <c r="K12" i="78"/>
  <c r="J12" i="78"/>
  <c r="I12" i="78"/>
  <c r="C12" i="78"/>
  <c r="M12" i="78" s="1"/>
  <c r="K11" i="78"/>
  <c r="H11" i="78"/>
  <c r="R11" i="78" s="1"/>
  <c r="D11" i="78"/>
  <c r="K10" i="78"/>
  <c r="H10" i="78"/>
  <c r="R10" i="78" s="1"/>
  <c r="D10" i="78"/>
  <c r="R9" i="78"/>
  <c r="K9" i="78"/>
  <c r="I9" i="78"/>
  <c r="P9" i="78"/>
  <c r="Q9" i="78" s="1"/>
  <c r="R8" i="78"/>
  <c r="P8" i="78"/>
  <c r="Q8" i="78" s="1"/>
  <c r="N8" i="78"/>
  <c r="O8" i="78" s="1"/>
  <c r="L8" i="78"/>
  <c r="K8" i="78"/>
  <c r="J8" i="78"/>
  <c r="I8" i="78"/>
  <c r="R7" i="78"/>
  <c r="P7" i="78"/>
  <c r="Q7" i="78" s="1"/>
  <c r="N7" i="78"/>
  <c r="O7" i="78" s="1"/>
  <c r="L7" i="78"/>
  <c r="K7" i="78"/>
  <c r="J7" i="78"/>
  <c r="I7" i="78"/>
  <c r="C7" i="78"/>
  <c r="P6" i="78"/>
  <c r="Q6" i="78" s="1"/>
  <c r="N6" i="78"/>
  <c r="O6" i="78" s="1"/>
  <c r="K6" i="78"/>
  <c r="J6" i="78"/>
  <c r="R4" i="78"/>
  <c r="P4" i="78"/>
  <c r="Q4" i="78" s="1"/>
  <c r="N4" i="78"/>
  <c r="O4" i="78" s="1"/>
  <c r="L4" i="78"/>
  <c r="K4" i="78"/>
  <c r="J4" i="78"/>
  <c r="I4" i="78"/>
  <c r="T99" i="108" s="1"/>
  <c r="C4" i="78"/>
  <c r="N99" i="108" s="1"/>
  <c r="M93" i="108" l="1"/>
  <c r="C100" i="108"/>
  <c r="F100" i="108" s="1"/>
  <c r="T39" i="113"/>
  <c r="F74" i="108"/>
  <c r="G73" i="108"/>
  <c r="H73" i="108" s="1"/>
  <c r="C74" i="108"/>
  <c r="A9" i="80"/>
  <c r="N19" i="78"/>
  <c r="O19" i="78" s="1"/>
  <c r="S19" i="78"/>
  <c r="P20" i="78"/>
  <c r="Q20" i="78" s="1"/>
  <c r="S20" i="78"/>
  <c r="J18" i="78"/>
  <c r="S18" i="78"/>
  <c r="N10" i="78"/>
  <c r="O10" i="78" s="1"/>
  <c r="S10" i="78"/>
  <c r="P11" i="78"/>
  <c r="Q11" i="78" s="1"/>
  <c r="S11" i="78"/>
  <c r="T39" i="112"/>
  <c r="L19" i="78"/>
  <c r="L18" i="78"/>
  <c r="C6" i="78"/>
  <c r="N69" i="108" s="1"/>
  <c r="S39" i="108"/>
  <c r="C43" i="108" s="1"/>
  <c r="F44" i="108" s="1"/>
  <c r="C19" i="78"/>
  <c r="M19" i="78" s="1"/>
  <c r="M4" i="78"/>
  <c r="R20" i="78"/>
  <c r="N11" i="78"/>
  <c r="O11" i="78" s="1"/>
  <c r="P10" i="78"/>
  <c r="Q10" i="78" s="1"/>
  <c r="C10" i="78"/>
  <c r="M10" i="78" s="1"/>
  <c r="J11" i="78"/>
  <c r="M7" i="78"/>
  <c r="M8" i="78"/>
  <c r="L9" i="78"/>
  <c r="I19" i="78"/>
  <c r="C9" i="78"/>
  <c r="M9" i="78" s="1"/>
  <c r="J9" i="78"/>
  <c r="I18" i="78"/>
  <c r="N18" i="78"/>
  <c r="O18" i="78" s="1"/>
  <c r="J10" i="78"/>
  <c r="N9" i="78"/>
  <c r="O9" i="78" s="1"/>
  <c r="P18" i="78"/>
  <c r="Q18" i="78" s="1"/>
  <c r="J19" i="78"/>
  <c r="P19" i="78"/>
  <c r="Q19" i="78" s="1"/>
  <c r="C18" i="78"/>
  <c r="M18" i="78" s="1"/>
  <c r="I10" i="78"/>
  <c r="L10" i="78"/>
  <c r="L20" i="78"/>
  <c r="C11" i="78"/>
  <c r="M11" i="78" s="1"/>
  <c r="L11" i="78"/>
  <c r="I6" i="78"/>
  <c r="T69" i="108" s="1"/>
  <c r="L6" i="78"/>
  <c r="R6" i="78"/>
  <c r="J20" i="78"/>
  <c r="N20" i="78"/>
  <c r="O20" i="78" s="1"/>
  <c r="C20" i="78"/>
  <c r="M20" i="78" s="1"/>
  <c r="I11" i="78"/>
  <c r="C70" i="108" l="1"/>
  <c r="F70" i="108" s="1"/>
  <c r="M63" i="108"/>
  <c r="O45" i="108"/>
  <c r="AB112" i="108"/>
  <c r="S93" i="108"/>
  <c r="R93" i="108"/>
  <c r="Z107" i="108" s="1"/>
  <c r="AC107" i="108" s="1"/>
  <c r="T93" i="108"/>
  <c r="U93" i="108" s="1"/>
  <c r="N112" i="108" s="1"/>
  <c r="AA113" i="108" s="1"/>
  <c r="A10" i="80"/>
  <c r="N32" i="108" s="1"/>
  <c r="S32" i="108"/>
  <c r="U32" i="112"/>
  <c r="T39" i="108"/>
  <c r="C44" i="108"/>
  <c r="G43" i="108"/>
  <c r="H43" i="108" s="1"/>
  <c r="M6" i="78"/>
  <c r="N39" i="108"/>
  <c r="N32" i="112" l="1"/>
  <c r="S63" i="108"/>
  <c r="AB82" i="108"/>
  <c r="T63" i="108"/>
  <c r="U63" i="108" s="1"/>
  <c r="N82" i="108" s="1"/>
  <c r="AA83" i="108" s="1"/>
  <c r="R63" i="108"/>
  <c r="Z77" i="108" s="1"/>
  <c r="AC77" i="108" s="1"/>
  <c r="U32" i="113"/>
  <c r="B93" i="108"/>
  <c r="Q46" i="108"/>
  <c r="L46" i="108" s="1"/>
  <c r="L52" i="108" s="1"/>
  <c r="T52" i="108" s="1"/>
  <c r="G107" i="108"/>
  <c r="S109" i="108"/>
  <c r="M108" i="108"/>
  <c r="L109" i="108"/>
  <c r="N45" i="113"/>
  <c r="S32" i="112"/>
  <c r="P32" i="112"/>
  <c r="Q46" i="112"/>
  <c r="L46" i="112" s="1"/>
  <c r="L52" i="112" s="1"/>
  <c r="P32" i="113"/>
  <c r="A11" i="80"/>
  <c r="N32" i="113"/>
  <c r="R32" i="113"/>
  <c r="R32" i="112"/>
  <c r="F32" i="112" s="1"/>
  <c r="S32" i="113"/>
  <c r="R32" i="108"/>
  <c r="Q46" i="113"/>
  <c r="L46" i="113" s="1"/>
  <c r="P32" i="108"/>
  <c r="U32" i="108"/>
  <c r="M33" i="108"/>
  <c r="R33" i="108" s="1"/>
  <c r="Z47" i="108" s="1"/>
  <c r="AC47" i="108" s="1"/>
  <c r="G47" i="108" s="1"/>
  <c r="C40" i="108"/>
  <c r="F40" i="108" s="1"/>
  <c r="O47" i="112" l="1"/>
  <c r="S38" i="112" s="1"/>
  <c r="U38" i="112" s="1"/>
  <c r="J37" i="112" s="1"/>
  <c r="B63" i="108"/>
  <c r="G77" i="108"/>
  <c r="L79" i="108"/>
  <c r="S79" i="108"/>
  <c r="M78" i="108"/>
  <c r="J45" i="112"/>
  <c r="B36" i="112" s="1"/>
  <c r="O47" i="108"/>
  <c r="S38" i="108" s="1"/>
  <c r="U38" i="108" s="1"/>
  <c r="J37" i="108" s="1"/>
  <c r="J45" i="108"/>
  <c r="B36" i="108" s="1"/>
  <c r="F32" i="113"/>
  <c r="F32" i="108"/>
  <c r="L52" i="113"/>
  <c r="O47" i="113"/>
  <c r="T38" i="113" s="1"/>
  <c r="V38" i="113" s="1"/>
  <c r="J37" i="113" s="1"/>
  <c r="J45" i="113"/>
  <c r="B36" i="113" s="1"/>
  <c r="O53" i="112"/>
  <c r="B53" i="112"/>
  <c r="T52" i="112"/>
  <c r="Z52" i="108"/>
  <c r="Z53" i="108"/>
  <c r="A12" i="80"/>
  <c r="S33" i="108"/>
  <c r="T33" i="108"/>
  <c r="AB52" i="108"/>
  <c r="M48" i="108"/>
  <c r="S49" i="108"/>
  <c r="L49" i="108"/>
  <c r="S47" i="112" l="1"/>
  <c r="N48" i="112" s="1"/>
  <c r="S47" i="108"/>
  <c r="N48" i="108" s="1"/>
  <c r="AC52" i="108"/>
  <c r="AD52" i="108" s="1"/>
  <c r="C47" i="112"/>
  <c r="C47" i="108"/>
  <c r="Z52" i="112"/>
  <c r="Z53" i="112"/>
  <c r="A13" i="80"/>
  <c r="P53" i="112"/>
  <c r="T53" i="112"/>
  <c r="T52" i="113"/>
  <c r="B53" i="113"/>
  <c r="O53" i="113"/>
  <c r="U33" i="108"/>
  <c r="N52" i="108" s="1"/>
  <c r="AA53" i="108" s="1"/>
  <c r="AB53" i="108" s="1"/>
  <c r="AF52" i="108" l="1"/>
  <c r="V52" i="108" s="1"/>
  <c r="P52" i="112"/>
  <c r="A14" i="80"/>
  <c r="AB53" i="112"/>
  <c r="AC52" i="112"/>
  <c r="P53" i="113"/>
  <c r="T53" i="113"/>
  <c r="Z52" i="113"/>
  <c r="Z53" i="113"/>
  <c r="AB53" i="113" s="1"/>
  <c r="B53" i="108"/>
  <c r="O53" i="108"/>
  <c r="T53" i="108" s="1"/>
  <c r="B33" i="108"/>
  <c r="AC53" i="108"/>
  <c r="AE53" i="108"/>
  <c r="P52" i="113" l="1"/>
  <c r="AD52" i="112"/>
  <c r="AF52" i="112"/>
  <c r="AC53" i="113"/>
  <c r="AE53" i="113"/>
  <c r="AC53" i="112"/>
  <c r="AE53" i="112"/>
  <c r="AC52" i="113"/>
  <c r="A15" i="80"/>
  <c r="A16" i="80" s="1"/>
  <c r="A17" i="80" s="1"/>
  <c r="A18" i="80" s="1"/>
  <c r="A19" i="80" s="1"/>
  <c r="A20" i="80" s="1"/>
  <c r="A21" i="80" s="1"/>
  <c r="A22" i="80" s="1"/>
  <c r="A23" i="80" s="1"/>
  <c r="A24" i="80" s="1"/>
  <c r="A25" i="80" s="1"/>
  <c r="A26" i="80" s="1"/>
  <c r="A27" i="80" s="1"/>
  <c r="A28" i="80" s="1"/>
  <c r="A29" i="80" s="1"/>
  <c r="A30" i="80" s="1"/>
  <c r="A31" i="80" s="1"/>
  <c r="A32" i="80" s="1"/>
  <c r="A33" i="80" s="1"/>
  <c r="A34" i="80" s="1"/>
  <c r="A35" i="80" s="1"/>
  <c r="A36" i="80" s="1"/>
  <c r="A37" i="80" s="1"/>
  <c r="A38" i="80" s="1"/>
  <c r="A39" i="80" s="1"/>
  <c r="A40" i="80" s="1"/>
  <c r="A41" i="80" s="1"/>
  <c r="A42" i="80" s="1"/>
  <c r="A43" i="80" s="1"/>
  <c r="A44" i="80" s="1"/>
  <c r="A45" i="80" s="1"/>
  <c r="A46" i="80" s="1"/>
  <c r="A47" i="80" s="1"/>
  <c r="A48" i="80" s="1"/>
  <c r="A49" i="80" s="1"/>
  <c r="A50" i="80" s="1"/>
  <c r="A51" i="80" s="1"/>
  <c r="A52" i="80" s="1"/>
  <c r="A53" i="80" s="1"/>
  <c r="A54" i="80" s="1"/>
  <c r="A55" i="80" s="1"/>
  <c r="A56" i="80" s="1"/>
  <c r="A57" i="80" s="1"/>
  <c r="A58" i="80" s="1"/>
  <c r="A59" i="80" s="1"/>
  <c r="A60" i="80" s="1"/>
  <c r="A61" i="80" s="1"/>
  <c r="A62" i="80" s="1"/>
  <c r="A63" i="80" s="1"/>
  <c r="A64" i="80" s="1"/>
  <c r="A65" i="80" s="1"/>
  <c r="A66" i="80" s="1"/>
  <c r="A67" i="80" s="1"/>
  <c r="A68" i="80" s="1"/>
  <c r="A69" i="80" s="1"/>
  <c r="A70" i="80" s="1"/>
  <c r="A71" i="80" s="1"/>
  <c r="A72" i="80" s="1"/>
  <c r="A73" i="80" s="1"/>
  <c r="A74" i="80" s="1"/>
  <c r="A75" i="80" s="1"/>
  <c r="A76" i="80" s="1"/>
  <c r="A77" i="80" s="1"/>
  <c r="A78" i="80" s="1"/>
  <c r="A79" i="80" s="1"/>
  <c r="A80" i="80" s="1"/>
  <c r="A81" i="80" s="1"/>
  <c r="A82" i="80" s="1"/>
  <c r="A83" i="80" s="1"/>
  <c r="A84" i="80" s="1"/>
  <c r="A85" i="80" s="1"/>
  <c r="A86" i="80" s="1"/>
  <c r="A87" i="80" s="1"/>
  <c r="A88" i="80" s="1"/>
  <c r="A89" i="80" s="1"/>
  <c r="A90" i="80" s="1"/>
  <c r="A91" i="80" s="1"/>
  <c r="A92" i="80" s="1"/>
  <c r="A93" i="80" s="1"/>
  <c r="A94" i="80" s="1"/>
  <c r="A95" i="80" s="1"/>
  <c r="A96" i="80" s="1"/>
  <c r="A97" i="80" s="1"/>
  <c r="A98" i="80" s="1"/>
  <c r="A99" i="80" s="1"/>
  <c r="A100" i="80" s="1"/>
  <c r="P53" i="108"/>
  <c r="P52" i="108" s="1"/>
  <c r="F52" i="108" s="1"/>
  <c r="V53" i="108"/>
  <c r="F53" i="108" s="1"/>
  <c r="N92" i="108" l="1"/>
  <c r="O45" i="113"/>
  <c r="L45" i="113" s="1"/>
  <c r="N105" i="108"/>
  <c r="U92" i="108"/>
  <c r="N45" i="108"/>
  <c r="L45" i="108" s="1"/>
  <c r="O135" i="108"/>
  <c r="R122" i="108"/>
  <c r="O45" i="112"/>
  <c r="N122" i="108"/>
  <c r="F122" i="108" s="1"/>
  <c r="N75" i="108"/>
  <c r="L75" i="108" s="1"/>
  <c r="P92" i="108"/>
  <c r="S92" i="108"/>
  <c r="O105" i="108"/>
  <c r="N135" i="108"/>
  <c r="L135" i="108" s="1"/>
  <c r="N62" i="108"/>
  <c r="Q76" i="108"/>
  <c r="L76" i="108" s="1"/>
  <c r="P122" i="108"/>
  <c r="N45" i="112"/>
  <c r="U62" i="108"/>
  <c r="S62" i="108"/>
  <c r="S122" i="108"/>
  <c r="O75" i="108"/>
  <c r="Q106" i="108"/>
  <c r="L106" i="108" s="1"/>
  <c r="Q136" i="108"/>
  <c r="L136" i="108" s="1"/>
  <c r="U122" i="108"/>
  <c r="R62" i="108"/>
  <c r="R92" i="108"/>
  <c r="P62" i="108"/>
  <c r="V52" i="112"/>
  <c r="F52" i="112" s="1"/>
  <c r="V53" i="112"/>
  <c r="F53" i="112" s="1"/>
  <c r="AF52" i="113"/>
  <c r="AD52" i="113"/>
  <c r="V53" i="113"/>
  <c r="F53" i="113" s="1"/>
  <c r="B56" i="108"/>
  <c r="L45" i="112" l="1"/>
  <c r="J75" i="108"/>
  <c r="B66" i="108" s="1"/>
  <c r="L82" i="108"/>
  <c r="O77" i="108"/>
  <c r="J135" i="108"/>
  <c r="B126" i="108" s="1"/>
  <c r="L142" i="108"/>
  <c r="O137" i="108"/>
  <c r="F62" i="108"/>
  <c r="O78" i="108"/>
  <c r="H75" i="108"/>
  <c r="O138" i="108"/>
  <c r="H135" i="108"/>
  <c r="O48" i="108"/>
  <c r="P48" i="108" s="1"/>
  <c r="H45" i="108"/>
  <c r="O48" i="112"/>
  <c r="H45" i="112"/>
  <c r="O107" i="108"/>
  <c r="J105" i="108"/>
  <c r="B96" i="108" s="1"/>
  <c r="L112" i="108"/>
  <c r="L105" i="108"/>
  <c r="H45" i="113"/>
  <c r="O48" i="113"/>
  <c r="F92" i="108"/>
  <c r="V52" i="113"/>
  <c r="F52" i="113" s="1"/>
  <c r="O108" i="108" l="1"/>
  <c r="H105" i="108"/>
  <c r="S128" i="108"/>
  <c r="U128" i="108" s="1"/>
  <c r="J127" i="108" s="1"/>
  <c r="S137" i="108"/>
  <c r="N138" i="108" s="1"/>
  <c r="C137" i="108"/>
  <c r="T112" i="108"/>
  <c r="B113" i="108"/>
  <c r="O113" i="108"/>
  <c r="S98" i="108"/>
  <c r="U98" i="108" s="1"/>
  <c r="J97" i="108" s="1"/>
  <c r="S107" i="108"/>
  <c r="N108" i="108" s="1"/>
  <c r="S68" i="108"/>
  <c r="U68" i="108" s="1"/>
  <c r="J67" i="108" s="1"/>
  <c r="S77" i="108"/>
  <c r="N78" i="108" s="1"/>
  <c r="P48" i="112"/>
  <c r="C48" i="112" s="1"/>
  <c r="T82" i="108"/>
  <c r="B83" i="108"/>
  <c r="O83" i="108"/>
  <c r="C48" i="108"/>
  <c r="R48" i="108"/>
  <c r="S56" i="108"/>
  <c r="P108" i="108" l="1"/>
  <c r="C108" i="108" s="1"/>
  <c r="Z113" i="108"/>
  <c r="Z112" i="108"/>
  <c r="Z82" i="108"/>
  <c r="Z83" i="108"/>
  <c r="AB83" i="108" s="1"/>
  <c r="P113" i="108"/>
  <c r="T113" i="108"/>
  <c r="P112" i="108" s="1"/>
  <c r="F112" i="108" s="1"/>
  <c r="C77" i="108"/>
  <c r="P83" i="108"/>
  <c r="T83" i="108"/>
  <c r="P82" i="108" s="1"/>
  <c r="R48" i="112"/>
  <c r="R56" i="112"/>
  <c r="AB56" i="112"/>
  <c r="P78" i="108"/>
  <c r="Q56" i="108"/>
  <c r="T56" i="108"/>
  <c r="U48" i="108"/>
  <c r="M49" i="108" s="1"/>
  <c r="G48" i="108"/>
  <c r="C107" i="108"/>
  <c r="AA56" i="112" l="1"/>
  <c r="AC56" i="112"/>
  <c r="S56" i="112"/>
  <c r="Q56" i="112"/>
  <c r="AG56" i="112"/>
  <c r="U48" i="112"/>
  <c r="M49" i="112" s="1"/>
  <c r="N49" i="112" s="1"/>
  <c r="AE83" i="108"/>
  <c r="AC83" i="108"/>
  <c r="V83" i="108" s="1"/>
  <c r="F83" i="108" s="1"/>
  <c r="AC82" i="108"/>
  <c r="N49" i="108"/>
  <c r="C49" i="108"/>
  <c r="AC112" i="108"/>
  <c r="S86" i="108"/>
  <c r="R78" i="108"/>
  <c r="AB113" i="108"/>
  <c r="C78" i="108"/>
  <c r="R108" i="108"/>
  <c r="S116" i="108"/>
  <c r="I5" i="78"/>
  <c r="T129" i="108" s="1"/>
  <c r="Y57" i="112" l="1"/>
  <c r="Q86" i="108"/>
  <c r="T86" i="108"/>
  <c r="AE113" i="108"/>
  <c r="AC113" i="108"/>
  <c r="V113" i="108" s="1"/>
  <c r="F113" i="108" s="1"/>
  <c r="U78" i="108"/>
  <c r="M79" i="108" s="1"/>
  <c r="N79" i="108" s="1"/>
  <c r="G78" i="108"/>
  <c r="G48" i="112"/>
  <c r="C49" i="112"/>
  <c r="R49" i="112"/>
  <c r="T49" i="112" s="1"/>
  <c r="Q49" i="112" s="1"/>
  <c r="K51" i="112"/>
  <c r="AF56" i="112"/>
  <c r="AH56" i="112"/>
  <c r="T116" i="108"/>
  <c r="Q116" i="108"/>
  <c r="R49" i="108"/>
  <c r="T49" i="108" s="1"/>
  <c r="Q49" i="108" s="1"/>
  <c r="K51" i="108"/>
  <c r="U108" i="108"/>
  <c r="M109" i="108" s="1"/>
  <c r="N109" i="108" s="1"/>
  <c r="G108" i="108"/>
  <c r="AD112" i="108"/>
  <c r="V112" i="108" s="1"/>
  <c r="AF112" i="108"/>
  <c r="AF82" i="108"/>
  <c r="AD82" i="108"/>
  <c r="V82" i="108" s="1"/>
  <c r="F82" i="108" s="1"/>
  <c r="Y58" i="112"/>
  <c r="C5" i="78"/>
  <c r="N129" i="108" s="1"/>
  <c r="N51" i="112" l="1"/>
  <c r="M51" i="112"/>
  <c r="M123" i="108"/>
  <c r="C130" i="108"/>
  <c r="F130" i="108" s="1"/>
  <c r="M51" i="108"/>
  <c r="D51" i="108" s="1"/>
  <c r="N51" i="108"/>
  <c r="C79" i="108"/>
  <c r="K81" i="108"/>
  <c r="R79" i="108"/>
  <c r="T79" i="108" s="1"/>
  <c r="Q79" i="108" s="1"/>
  <c r="C109" i="108"/>
  <c r="R109" i="108"/>
  <c r="T109" i="108" s="1"/>
  <c r="Q109" i="108" s="1"/>
  <c r="K111" i="108"/>
  <c r="Y59" i="112"/>
  <c r="B56" i="112" s="1"/>
  <c r="M5" i="78"/>
  <c r="D51" i="112" l="1"/>
  <c r="AB142" i="108"/>
  <c r="S123" i="108"/>
  <c r="B123" i="108" s="1"/>
  <c r="R123" i="108"/>
  <c r="Z137" i="108" s="1"/>
  <c r="T123" i="108"/>
  <c r="U123" i="108" s="1"/>
  <c r="N142" i="108" s="1"/>
  <c r="M111" i="108"/>
  <c r="N111" i="108"/>
  <c r="M81" i="108"/>
  <c r="D81" i="108" s="1"/>
  <c r="N81" i="108"/>
  <c r="C42" i="113"/>
  <c r="F44" i="113" s="1"/>
  <c r="D111" i="108" l="1"/>
  <c r="AA143" i="108"/>
  <c r="O143" i="108"/>
  <c r="B143" i="108"/>
  <c r="AC137" i="108"/>
  <c r="AC142" i="108"/>
  <c r="O46" i="113"/>
  <c r="C46" i="113" s="1"/>
  <c r="C44" i="113"/>
  <c r="G42" i="113"/>
  <c r="H42" i="113" s="1"/>
  <c r="AF142" i="108" l="1"/>
  <c r="AD142" i="108"/>
  <c r="S139" i="108"/>
  <c r="M138" i="108"/>
  <c r="L139" i="108"/>
  <c r="G137" i="108"/>
  <c r="P143" i="108"/>
  <c r="T143" i="108"/>
  <c r="P142" i="108"/>
  <c r="AB143" i="108"/>
  <c r="S48" i="113"/>
  <c r="R47" i="113"/>
  <c r="AE143" i="108" l="1"/>
  <c r="AC143" i="108"/>
  <c r="V143" i="108" s="1"/>
  <c r="F143" i="108" s="1"/>
  <c r="P138" i="108"/>
  <c r="V142" i="108"/>
  <c r="F142" i="108" s="1"/>
  <c r="S47" i="113"/>
  <c r="N48" i="113" s="1"/>
  <c r="S146" i="108" l="1"/>
  <c r="R138" i="108"/>
  <c r="C138" i="108"/>
  <c r="P48" i="113"/>
  <c r="C48" i="113" s="1"/>
  <c r="C47" i="113"/>
  <c r="U138" i="108" l="1"/>
  <c r="M139" i="108" s="1"/>
  <c r="G138" i="108"/>
  <c r="Q146" i="108"/>
  <c r="T146" i="108"/>
  <c r="R48" i="113"/>
  <c r="S56" i="113"/>
  <c r="B146" i="108" l="1"/>
  <c r="N139" i="108"/>
  <c r="Q56" i="113"/>
  <c r="T56" i="113"/>
  <c r="U48" i="113"/>
  <c r="M49" i="113" s="1"/>
  <c r="B56" i="113" l="1"/>
  <c r="K141" i="108"/>
  <c r="R139" i="108"/>
  <c r="T139" i="108" s="1"/>
  <c r="Q139" i="108" s="1"/>
  <c r="C139" i="108"/>
  <c r="G48" i="113"/>
  <c r="N49" i="113"/>
  <c r="C49" i="113"/>
  <c r="M141" i="108" l="1"/>
  <c r="N141" i="108"/>
  <c r="D141" i="108" s="1"/>
  <c r="K51" i="113"/>
  <c r="R49" i="113"/>
  <c r="T49" i="113" l="1"/>
  <c r="Q49" i="113" s="1"/>
  <c r="M51" i="113"/>
  <c r="N51" i="113"/>
  <c r="D51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info</author>
  </authors>
  <commentList>
    <comment ref="K31" authorId="0" shapeId="0" xr:uid="{E5A4E50A-2E57-4F04-8391-6D116D064143}">
      <text>
        <r>
          <rPr>
            <b/>
            <sz val="9"/>
            <color indexed="81"/>
            <rFont val="MS P ゴシック"/>
            <family val="3"/>
            <charset val="128"/>
          </rPr>
          <t>Comment</t>
        </r>
      </text>
    </comment>
    <comment ref="P33" authorId="0" shapeId="0" xr:uid="{2DAE5482-B164-46AD-9CF4-0C6C0ED997B4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N34" authorId="0" shapeId="0" xr:uid="{520DEFD3-9A5A-4C46-9C7C-BF1331CAD316}">
      <text>
        <r>
          <rPr>
            <b/>
            <sz val="9"/>
            <color indexed="81"/>
            <rFont val="MS P ゴシック"/>
            <family val="3"/>
            <charset val="128"/>
          </rPr>
          <t>0 for SHS</t>
        </r>
      </text>
    </comment>
    <comment ref="P34" authorId="0" shapeId="0" xr:uid="{9046CFD7-2E5F-4972-95A3-D8AB99DD8EE2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S36" authorId="0" shapeId="0" xr:uid="{7BD48F55-519F-4A32-8191-BB0CC1C9EE9E}">
      <text>
        <r>
          <rPr>
            <b/>
            <sz val="9"/>
            <color indexed="81"/>
            <rFont val="MS P ゴシック"/>
            <family val="3"/>
            <charset val="128"/>
          </rPr>
          <t>ウェブがガセット接合の時、ガセット高さ。
溶接接合の時、H-2tf-2rs</t>
        </r>
      </text>
    </comment>
    <comment ref="T37" authorId="0" shapeId="0" xr:uid="{9D1E1108-5C12-4C11-89B3-14CFE16F95E7}">
      <text>
        <r>
          <rPr>
            <b/>
            <sz val="9"/>
            <color indexed="81"/>
            <rFont val="MS P ゴシック"/>
            <family val="3"/>
            <charset val="128"/>
          </rPr>
          <t>Web or gusset thickness joined to column</t>
        </r>
      </text>
    </comment>
    <comment ref="B58" authorId="0" shapeId="0" xr:uid="{9569D611-2556-468B-ABFC-4157A9749362}">
      <text>
        <r>
          <rPr>
            <b/>
            <sz val="9"/>
            <color indexed="81"/>
            <rFont val="MS P ゴシック"/>
            <family val="3"/>
            <charset val="128"/>
          </rPr>
          <t>Added gusset welding when jMwu&gt; [Bolt bending strength]</t>
        </r>
      </text>
    </comment>
    <comment ref="K61" authorId="0" shapeId="0" xr:uid="{30890C5A-B4D7-4FEE-BCC7-F672D49B4C12}">
      <text>
        <r>
          <rPr>
            <b/>
            <sz val="9"/>
            <color indexed="81"/>
            <rFont val="MS P ゴシック"/>
            <family val="3"/>
            <charset val="128"/>
          </rPr>
          <t>Comment</t>
        </r>
      </text>
    </comment>
    <comment ref="P63" authorId="0" shapeId="0" xr:uid="{82B8A512-665F-406F-B66F-118A8D94F3C8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N64" authorId="0" shapeId="0" xr:uid="{8AE7AF96-5B1C-4C4E-B83E-27FC9868DCEB}">
      <text>
        <r>
          <rPr>
            <b/>
            <sz val="9"/>
            <color indexed="81"/>
            <rFont val="MS P ゴシック"/>
            <family val="3"/>
            <charset val="128"/>
          </rPr>
          <t>0 for SHS</t>
        </r>
      </text>
    </comment>
    <comment ref="P64" authorId="0" shapeId="0" xr:uid="{84762D2A-E458-40C3-98E5-27CF33EF9066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S66" authorId="0" shapeId="0" xr:uid="{68A82C6E-7FD9-4D52-85FA-676783A4CE3B}">
      <text>
        <r>
          <rPr>
            <b/>
            <sz val="9"/>
            <color indexed="81"/>
            <rFont val="MS P ゴシック"/>
            <family val="3"/>
            <charset val="128"/>
          </rPr>
          <t>ウェブがガセット接合の時、ガセット高さ。
溶接接合の時、H-2tf-2rs</t>
        </r>
      </text>
    </comment>
    <comment ref="T67" authorId="0" shapeId="0" xr:uid="{0B05CCD4-A9AD-438C-BDD0-3F55748F0F46}">
      <text>
        <r>
          <rPr>
            <b/>
            <sz val="9"/>
            <color indexed="81"/>
            <rFont val="MS P ゴシック"/>
            <family val="3"/>
            <charset val="128"/>
          </rPr>
          <t>Web or gusset thickness joined to column</t>
        </r>
      </text>
    </comment>
    <comment ref="B88" authorId="0" shapeId="0" xr:uid="{71AFF882-3FDB-4CBA-BA7C-5FAF9D2CD128}">
      <text>
        <r>
          <rPr>
            <b/>
            <sz val="9"/>
            <color indexed="81"/>
            <rFont val="MS P ゴシック"/>
            <family val="3"/>
            <charset val="128"/>
          </rPr>
          <t>Added gusset welding when jMwu&gt; [Bolt bending strength]</t>
        </r>
      </text>
    </comment>
    <comment ref="K91" authorId="0" shapeId="0" xr:uid="{63E06232-D0E1-4A01-9D64-57C42F2C686B}">
      <text>
        <r>
          <rPr>
            <b/>
            <sz val="9"/>
            <color indexed="81"/>
            <rFont val="MS P ゴシック"/>
            <family val="3"/>
            <charset val="128"/>
          </rPr>
          <t>Comment</t>
        </r>
      </text>
    </comment>
    <comment ref="P93" authorId="0" shapeId="0" xr:uid="{4441D7EC-878A-4B6A-8C28-70CE91D747F4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N94" authorId="0" shapeId="0" xr:uid="{DC1DE62E-2B6F-496F-892F-79A34BDB98DD}">
      <text>
        <r>
          <rPr>
            <b/>
            <sz val="9"/>
            <color indexed="81"/>
            <rFont val="MS P ゴシック"/>
            <family val="3"/>
            <charset val="128"/>
          </rPr>
          <t>0 for SHS</t>
        </r>
      </text>
    </comment>
    <comment ref="P94" authorId="0" shapeId="0" xr:uid="{C7CB584B-3F41-475E-8463-064879DD537F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S96" authorId="0" shapeId="0" xr:uid="{FA3BA4A5-EF53-428B-AB9D-6AB83ABB8F85}">
      <text>
        <r>
          <rPr>
            <b/>
            <sz val="9"/>
            <color indexed="81"/>
            <rFont val="MS P ゴシック"/>
            <family val="3"/>
            <charset val="128"/>
          </rPr>
          <t>ウェブがガセット接合の時、ガセット高さ。
溶接接合の時、H-2tf-2rs</t>
        </r>
      </text>
    </comment>
    <comment ref="T97" authorId="0" shapeId="0" xr:uid="{CE75AFC9-56CE-43FE-B8F5-4C4DF3411AAC}">
      <text>
        <r>
          <rPr>
            <b/>
            <sz val="9"/>
            <color indexed="81"/>
            <rFont val="MS P ゴシック"/>
            <family val="3"/>
            <charset val="128"/>
          </rPr>
          <t>Web or gusset thickness joined to column</t>
        </r>
      </text>
    </comment>
    <comment ref="B118" authorId="0" shapeId="0" xr:uid="{6E57D243-FBD6-4A8B-A54A-D97A09C6A5C2}">
      <text>
        <r>
          <rPr>
            <b/>
            <sz val="9"/>
            <color indexed="81"/>
            <rFont val="MS P ゴシック"/>
            <family val="3"/>
            <charset val="128"/>
          </rPr>
          <t>Added gusset welding when jMwu&gt; [Bolt bending strength]</t>
        </r>
      </text>
    </comment>
    <comment ref="K121" authorId="0" shapeId="0" xr:uid="{6531D066-7513-418B-B73D-E82D1D69E45B}">
      <text>
        <r>
          <rPr>
            <b/>
            <sz val="9"/>
            <color indexed="81"/>
            <rFont val="MS P ゴシック"/>
            <family val="3"/>
            <charset val="128"/>
          </rPr>
          <t>Comment</t>
        </r>
      </text>
    </comment>
    <comment ref="P123" authorId="0" shapeId="0" xr:uid="{D313BE71-BFA1-4D95-A224-F52258011B03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N124" authorId="0" shapeId="0" xr:uid="{22E97154-9721-4281-AF7E-F71CBC7369DA}">
      <text>
        <r>
          <rPr>
            <b/>
            <sz val="9"/>
            <color indexed="81"/>
            <rFont val="MS P ゴシック"/>
            <family val="3"/>
            <charset val="128"/>
          </rPr>
          <t>0 for SHS</t>
        </r>
      </text>
    </comment>
    <comment ref="P124" authorId="0" shapeId="0" xr:uid="{B456ED4A-3906-4343-A6E4-B4D6A915A13C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S126" authorId="0" shapeId="0" xr:uid="{D3F02E39-35FB-4F46-950C-9506E129CDA7}">
      <text>
        <r>
          <rPr>
            <b/>
            <sz val="9"/>
            <color indexed="81"/>
            <rFont val="MS P ゴシック"/>
            <family val="3"/>
            <charset val="128"/>
          </rPr>
          <t>ウェブがガセット接合の時、ガセット高さ。
溶接接合の時、H-2tf-2rs</t>
        </r>
      </text>
    </comment>
    <comment ref="T127" authorId="0" shapeId="0" xr:uid="{FBBF04FF-A784-4B88-A37C-6428FBDB8550}">
      <text>
        <r>
          <rPr>
            <b/>
            <sz val="9"/>
            <color indexed="81"/>
            <rFont val="MS P ゴシック"/>
            <family val="3"/>
            <charset val="128"/>
          </rPr>
          <t>Web or gusset thickness joined to column</t>
        </r>
      </text>
    </comment>
    <comment ref="B148" authorId="0" shapeId="0" xr:uid="{677236F9-F808-4C45-8AE4-0AA9F0FF4091}">
      <text>
        <r>
          <rPr>
            <b/>
            <sz val="9"/>
            <color indexed="81"/>
            <rFont val="MS P ゴシック"/>
            <family val="3"/>
            <charset val="128"/>
          </rPr>
          <t>Added gusset welding when jMwu&gt; [Bolt bending strength]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info</author>
  </authors>
  <commentList>
    <comment ref="K31" authorId="0" shapeId="0" xr:uid="{3F521D62-9D03-42AD-A3B9-917AF6CB7EA6}">
      <text>
        <r>
          <rPr>
            <b/>
            <sz val="9"/>
            <color indexed="81"/>
            <rFont val="MS P ゴシック"/>
            <family val="3"/>
            <charset val="128"/>
          </rPr>
          <t>Comment</t>
        </r>
      </text>
    </comment>
    <comment ref="P33" authorId="0" shapeId="0" xr:uid="{CFE482A4-BA79-454D-BA19-DF356130708E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P34" authorId="0" shapeId="0" xr:uid="{DDE7D8A6-BE32-4EE6-941F-3B6030E73BDB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S36" authorId="0" shapeId="0" xr:uid="{64E4A641-F89E-4D89-A027-8E24B6FF082B}">
      <text>
        <r>
          <rPr>
            <b/>
            <sz val="9"/>
            <color indexed="81"/>
            <rFont val="MS P ゴシック"/>
            <family val="3"/>
            <charset val="128"/>
          </rPr>
          <t>ウェブがガセット接合の時、ガセット高さ。
溶接接合の時、H-2tf-2rs</t>
        </r>
      </text>
    </comment>
    <comment ref="T37" authorId="0" shapeId="0" xr:uid="{D9EF14C5-720E-4EE3-B7CD-61A173256D38}">
      <text>
        <r>
          <rPr>
            <b/>
            <sz val="9"/>
            <color indexed="81"/>
            <rFont val="MS P ゴシック"/>
            <family val="3"/>
            <charset val="128"/>
          </rPr>
          <t>Web or gusset thickness joined to column</t>
        </r>
      </text>
    </comment>
    <comment ref="K56" authorId="0" shapeId="0" xr:uid="{8A7BFCA7-FC86-4A18-A9F8-17D01E9FAF9A}">
      <text>
        <r>
          <rPr>
            <b/>
            <sz val="9"/>
            <color indexed="81"/>
            <rFont val="MS P ゴシック"/>
            <family val="3"/>
            <charset val="128"/>
          </rPr>
          <t>0:Bolt shear strength
1:Welding shear strength
2:bolt + welding</t>
        </r>
      </text>
    </comment>
    <comment ref="B58" authorId="0" shapeId="0" xr:uid="{26D5133D-ABC8-495F-9DD7-FD756CD67DE8}">
      <text>
        <r>
          <rPr>
            <b/>
            <sz val="9"/>
            <color indexed="81"/>
            <rFont val="MS P ゴシック"/>
            <family val="3"/>
            <charset val="128"/>
          </rPr>
          <t>Added gusset welding when jMwu&gt; [Bolt bending strength]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info</author>
  </authors>
  <commentList>
    <comment ref="K31" authorId="0" shapeId="0" xr:uid="{A0E4DC1E-5F39-4523-933B-0815BCE2E06A}">
      <text>
        <r>
          <rPr>
            <b/>
            <sz val="9"/>
            <color indexed="81"/>
            <rFont val="MS P ゴシック"/>
            <family val="3"/>
            <charset val="128"/>
          </rPr>
          <t>Comment</t>
        </r>
      </text>
    </comment>
    <comment ref="P33" authorId="0" shapeId="0" xr:uid="{D88469C5-511E-40FD-A87F-0788F6C17FD8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N34" authorId="0" shapeId="0" xr:uid="{CDE7E4C3-B2FB-4923-9D02-990F65FCAECD}">
      <text>
        <r>
          <rPr>
            <b/>
            <sz val="9"/>
            <color indexed="81"/>
            <rFont val="MS P ゴシック"/>
            <family val="3"/>
            <charset val="128"/>
          </rPr>
          <t>0 for pipe</t>
        </r>
      </text>
    </comment>
    <comment ref="P34" authorId="0" shapeId="0" xr:uid="{DAA7138A-2DD0-4D5D-8452-00370763C35E}">
      <text>
        <r>
          <rPr>
            <b/>
            <sz val="9"/>
            <color indexed="81"/>
            <rFont val="MS P ゴシック"/>
            <family val="3"/>
            <charset val="128"/>
          </rPr>
          <t>0 when buildup member</t>
        </r>
      </text>
    </comment>
    <comment ref="O36" authorId="0" shapeId="0" xr:uid="{63EDBFCD-0375-41F1-B137-C231247F240F}">
      <text>
        <r>
          <rPr>
            <b/>
            <sz val="9"/>
            <color indexed="81"/>
            <rFont val="MS P ゴシック"/>
            <family val="3"/>
            <charset val="128"/>
          </rPr>
          <t>bj=φ-tcf</t>
        </r>
      </text>
    </comment>
    <comment ref="S36" authorId="0" shapeId="0" xr:uid="{67D15A6B-F265-4110-9CB3-265FCFAE65AB}">
      <text>
        <r>
          <rPr>
            <b/>
            <sz val="9"/>
            <color indexed="81"/>
            <rFont val="MS P ゴシック"/>
            <family val="3"/>
            <charset val="128"/>
          </rPr>
          <t>When the web is gusseted, the gusset height.
When welding joints, H-2tf-2rs</t>
        </r>
      </text>
    </comment>
    <comment ref="T37" authorId="0" shapeId="0" xr:uid="{9C9013A7-351B-436D-ABDF-F39CE2574E5D}">
      <text>
        <r>
          <rPr>
            <b/>
            <sz val="9"/>
            <color indexed="81"/>
            <rFont val="MS P ゴシック"/>
            <family val="3"/>
            <charset val="128"/>
          </rPr>
          <t>Web or gusset thickness joined to column</t>
        </r>
      </text>
    </comment>
    <comment ref="B58" authorId="0" shapeId="0" xr:uid="{C6FDBDF9-F028-478D-A581-FA778F64298B}">
      <text>
        <r>
          <rPr>
            <b/>
            <sz val="9"/>
            <color indexed="81"/>
            <rFont val="MS P ゴシック"/>
            <family val="3"/>
            <charset val="128"/>
          </rPr>
          <t>Added gusset welding when jMwu&gt; [Bolt bending strength]</t>
        </r>
      </text>
    </comment>
  </commentList>
</comments>
</file>

<file path=xl/sharedStrings.xml><?xml version="1.0" encoding="utf-8"?>
<sst xmlns="http://schemas.openxmlformats.org/spreadsheetml/2006/main" count="1144" uniqueCount="378">
  <si>
    <t>B</t>
  </si>
  <si>
    <t>b=</t>
    <phoneticPr fontId="3"/>
  </si>
  <si>
    <t>c=</t>
    <phoneticPr fontId="3"/>
  </si>
  <si>
    <t>r=</t>
    <phoneticPr fontId="3"/>
  </si>
  <si>
    <t>bf=</t>
    <phoneticPr fontId="3"/>
  </si>
  <si>
    <t>db=</t>
    <phoneticPr fontId="3"/>
  </si>
  <si>
    <t>a=</t>
    <phoneticPr fontId="3"/>
  </si>
  <si>
    <t>L'=</t>
    <phoneticPr fontId="3"/>
  </si>
  <si>
    <t>L=</t>
    <phoneticPr fontId="3"/>
  </si>
  <si>
    <t>Vp=</t>
    <phoneticPr fontId="3"/>
  </si>
  <si>
    <t>mm</t>
    <phoneticPr fontId="3"/>
  </si>
  <si>
    <t>a=(0.5 to 0.75)bf</t>
    <phoneticPr fontId="3"/>
  </si>
  <si>
    <t>a/bf=</t>
    <phoneticPr fontId="3"/>
  </si>
  <si>
    <t>b=(0.65 to 0.85)db</t>
    <phoneticPr fontId="3"/>
  </si>
  <si>
    <t>b/db=</t>
    <phoneticPr fontId="3"/>
  </si>
  <si>
    <t>c/bf=</t>
    <phoneticPr fontId="3"/>
  </si>
  <si>
    <t>c=(0.2 to 0.25)bf</t>
    <phoneticPr fontId="3"/>
  </si>
  <si>
    <t>kN</t>
    <phoneticPr fontId="3"/>
  </si>
  <si>
    <t>σy=</t>
    <phoneticPr fontId="3"/>
  </si>
  <si>
    <t>kNm</t>
    <phoneticPr fontId="3"/>
  </si>
  <si>
    <t>iy=</t>
    <phoneticPr fontId="3"/>
  </si>
  <si>
    <t>c/bf</t>
  </si>
  <si>
    <t>ERBS shape example</t>
    <phoneticPr fontId="3"/>
  </si>
  <si>
    <t>beam
depth</t>
    <phoneticPr fontId="3"/>
  </si>
  <si>
    <t>reduced
flange
width</t>
    <phoneticPr fontId="3"/>
  </si>
  <si>
    <t>inner
flange
width</t>
    <phoneticPr fontId="3"/>
  </si>
  <si>
    <t>center
flange
width</t>
    <phoneticPr fontId="3"/>
  </si>
  <si>
    <t>a</t>
    <phoneticPr fontId="3"/>
  </si>
  <si>
    <t>b</t>
    <phoneticPr fontId="3"/>
  </si>
  <si>
    <t>c</t>
    <phoneticPr fontId="3"/>
  </si>
  <si>
    <t>r</t>
    <phoneticPr fontId="3"/>
  </si>
  <si>
    <t>a/bf</t>
    <phoneticPr fontId="3"/>
  </si>
  <si>
    <t>b/db</t>
    <phoneticPr fontId="3"/>
  </si>
  <si>
    <t>bf1/bf0</t>
    <phoneticPr fontId="3"/>
  </si>
  <si>
    <t>BH type</t>
    <phoneticPr fontId="3"/>
  </si>
  <si>
    <t>H type</t>
    <phoneticPr fontId="3"/>
  </si>
  <si>
    <t>reducing
angle</t>
    <phoneticPr fontId="3"/>
  </si>
  <si>
    <t>db=</t>
    <phoneticPr fontId="3"/>
  </si>
  <si>
    <t>bf1</t>
    <phoneticPr fontId="3"/>
  </si>
  <si>
    <t>bf=</t>
    <phoneticPr fontId="3"/>
  </si>
  <si>
    <t>bf0</t>
    <phoneticPr fontId="3"/>
  </si>
  <si>
    <t>0.2~0.25bf</t>
    <phoneticPr fontId="3"/>
  </si>
  <si>
    <t>0.5~0.75</t>
    <phoneticPr fontId="3"/>
  </si>
  <si>
    <t>0.65~0.85</t>
    <phoneticPr fontId="3"/>
  </si>
  <si>
    <t>0.2~0.25</t>
    <phoneticPr fontId="3"/>
  </si>
  <si>
    <t>&lt;0.85</t>
    <phoneticPr fontId="3"/>
  </si>
  <si>
    <t>f=1.2bf</t>
    <phoneticPr fontId="3"/>
  </si>
  <si>
    <t>0.1f</t>
    <phoneticPr fontId="3"/>
  </si>
  <si>
    <t>f=2bf/3</t>
    <phoneticPr fontId="3"/>
  </si>
  <si>
    <t>0.2f</t>
    <phoneticPr fontId="3"/>
  </si>
  <si>
    <t>b/2c</t>
    <phoneticPr fontId="3"/>
  </si>
  <si>
    <t>(bf-bf0)/2</t>
    <phoneticPr fontId="3"/>
  </si>
  <si>
    <t>bf1=</t>
    <phoneticPr fontId="3"/>
  </si>
  <si>
    <t>bf0=</t>
    <phoneticPr fontId="3"/>
  </si>
  <si>
    <t xml:space="preserve">   f1=0.2f=</t>
    <phoneticPr fontId="3"/>
  </si>
  <si>
    <t xml:space="preserve">   f1=0.1f=</t>
    <phoneticPr fontId="3"/>
  </si>
  <si>
    <t>bfe=</t>
    <phoneticPr fontId="3"/>
  </si>
  <si>
    <t>QL=</t>
    <phoneticPr fontId="3"/>
  </si>
  <si>
    <t>x=a+b/2=</t>
    <phoneticPr fontId="3"/>
  </si>
  <si>
    <t>Cpr=</t>
  </si>
  <si>
    <t>Ry=</t>
  </si>
  <si>
    <t>Mpr=</t>
  </si>
  <si>
    <t>Vp * x=</t>
  </si>
  <si>
    <t>Mf=</t>
  </si>
  <si>
    <t>Mpr=Cpr・Ry・Zp・Fy</t>
  </si>
  <si>
    <t>RyZpσy=</t>
    <phoneticPr fontId="3"/>
  </si>
  <si>
    <t>n=</t>
    <phoneticPr fontId="3"/>
  </si>
  <si>
    <t>Mf/Mpr=</t>
    <phoneticPr fontId="3"/>
  </si>
  <si>
    <t>=1:SN400 / 2:SN490</t>
    <phoneticPr fontId="3"/>
  </si>
  <si>
    <t>Mf/(RyZbσy)=</t>
    <phoneticPr fontId="3"/>
  </si>
  <si>
    <t xml:space="preserve">/1000 = </t>
    <phoneticPr fontId="3"/>
  </si>
  <si>
    <t xml:space="preserve">Mpr+Vp*x = </t>
    <phoneticPr fontId="3"/>
  </si>
  <si>
    <t xml:space="preserve">  (柱フェース/ヒンジでの応力増加率)</t>
    <rPh sb="3" eb="4">
      <t>ハシラ</t>
    </rPh>
    <rPh sb="14" eb="16">
      <t>オウリョク</t>
    </rPh>
    <rPh sb="16" eb="17">
      <t>ゾウ</t>
    </rPh>
    <rPh sb="17" eb="18">
      <t>カ</t>
    </rPh>
    <rPh sb="18" eb="19">
      <t>リツ</t>
    </rPh>
    <phoneticPr fontId="3"/>
  </si>
  <si>
    <t>bj=</t>
    <phoneticPr fontId="3"/>
  </si>
  <si>
    <t>m=</t>
    <phoneticPr fontId="3"/>
  </si>
  <si>
    <t>柱材料</t>
    <rPh sb="0" eb="1">
      <t>ハシラ</t>
    </rPh>
    <rPh sb="1" eb="2">
      <t>ザイ</t>
    </rPh>
    <rPh sb="2" eb="3">
      <t>リョウ</t>
    </rPh>
    <phoneticPr fontId="3"/>
  </si>
  <si>
    <t>Zwpe=</t>
    <phoneticPr fontId="3"/>
  </si>
  <si>
    <t>jMwu=</t>
    <phoneticPr fontId="3"/>
  </si>
  <si>
    <t>RyZpσy+jMwu=</t>
    <phoneticPr fontId="3"/>
  </si>
  <si>
    <t>dj=H-2tbf=</t>
    <phoneticPr fontId="3"/>
  </si>
  <si>
    <t>JOINT</t>
  </si>
  <si>
    <t>mm</t>
  </si>
  <si>
    <t>kNm</t>
  </si>
  <si>
    <t>kN</t>
  </si>
  <si>
    <t>RFL</t>
  </si>
  <si>
    <t>L</t>
  </si>
  <si>
    <t>1FL</t>
  </si>
  <si>
    <t>qbu=</t>
    <phoneticPr fontId="3"/>
  </si>
  <si>
    <t>F10T</t>
    <phoneticPr fontId="3"/>
  </si>
  <si>
    <t>Q'=0.7×</t>
    <phoneticPr fontId="3"/>
  </si>
  <si>
    <t>M'=</t>
    <phoneticPr fontId="3"/>
  </si>
  <si>
    <t>mm, s=</t>
    <phoneticPr fontId="3"/>
  </si>
  <si>
    <t>mm, Le=</t>
    <phoneticPr fontId="3"/>
  </si>
  <si>
    <t xml:space="preserve"> 1/4</t>
  </si>
  <si>
    <t>A</t>
  </si>
  <si>
    <t xml:space="preserve"> </t>
  </si>
  <si>
    <t>r=(4c*c+b*b)/8c</t>
    <phoneticPr fontId="3"/>
  </si>
  <si>
    <t>HN600</t>
    <phoneticPr fontId="3"/>
  </si>
  <si>
    <t>HN500</t>
  </si>
  <si>
    <t>HN500rbs</t>
    <phoneticPr fontId="3"/>
  </si>
  <si>
    <t>HN450</t>
  </si>
  <si>
    <t>HN400</t>
  </si>
  <si>
    <t>HN300</t>
  </si>
  <si>
    <t>HN250</t>
  </si>
  <si>
    <t>HN200</t>
  </si>
  <si>
    <t>HM900</t>
  </si>
  <si>
    <t>HM800</t>
  </si>
  <si>
    <t>HM700</t>
  </si>
  <si>
    <t>HM588</t>
  </si>
  <si>
    <t>HM488</t>
  </si>
  <si>
    <t>HM440</t>
  </si>
  <si>
    <t>HM390</t>
  </si>
  <si>
    <t>HM340</t>
  </si>
  <si>
    <t>HM294</t>
  </si>
  <si>
    <t>ウェブ高ls=</t>
    <rPh sb="3" eb="4">
      <t>タカ</t>
    </rPh>
    <phoneticPr fontId="3"/>
  </si>
  <si>
    <t>=1:BCR295/2:BCP325/3:direct</t>
    <phoneticPr fontId="3"/>
  </si>
  <si>
    <t>direct:</t>
    <phoneticPr fontId="3"/>
  </si>
  <si>
    <t>tw, tg=</t>
    <phoneticPr fontId="3"/>
  </si>
  <si>
    <t>maxQL=</t>
    <phoneticPr fontId="3"/>
  </si>
  <si>
    <t> </t>
  </si>
  <si>
    <t>Vp=</t>
    <phoneticPr fontId="3"/>
  </si>
  <si>
    <t>RG1x</t>
  </si>
  <si>
    <t>RG1y</t>
  </si>
  <si>
    <t>3FL</t>
  </si>
  <si>
    <t>3G1x</t>
  </si>
  <si>
    <t>3G1y</t>
  </si>
  <si>
    <t>2FL</t>
  </si>
  <si>
    <t>2G1x</t>
  </si>
  <si>
    <t>2G1y</t>
  </si>
  <si>
    <t>1G1x</t>
  </si>
  <si>
    <t>1G1y</t>
  </si>
  <si>
    <t>HN400</t>
    <phoneticPr fontId="3"/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</si>
  <si>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</si>
  <si>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</si>
  <si>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</si>
  <si>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</si>
  <si>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</si>
  <si>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/(√3×1000)=</t>
    <phoneticPr fontId="3"/>
  </si>
  <si>
    <t>HN500</t>
    <phoneticPr fontId="3"/>
  </si>
  <si>
    <t>・</t>
    <phoneticPr fontId="3"/>
  </si>
  <si>
    <t>vL=</t>
    <phoneticPr fontId="3"/>
  </si>
  <si>
    <t>mm, hL=</t>
    <phoneticPr fontId="3"/>
  </si>
  <si>
    <t>=1:SN400/2:SN490/3:direct</t>
    <phoneticPr fontId="3"/>
  </si>
  <si>
    <t>(SM490)</t>
    <phoneticPr fontId="3"/>
  </si>
  <si>
    <t>梁端接合部の記号</t>
    <rPh sb="0" eb="1">
      <t>ハリ</t>
    </rPh>
    <rPh sb="1" eb="2">
      <t>タン</t>
    </rPh>
    <rPh sb="2" eb="4">
      <t>セツゴウ</t>
    </rPh>
    <rPh sb="4" eb="5">
      <t>ブ</t>
    </rPh>
    <rPh sb="6" eb="8">
      <t>キゴウ</t>
    </rPh>
    <phoneticPr fontId="3"/>
  </si>
  <si>
    <t>(STKR400)</t>
    <phoneticPr fontId="3"/>
  </si>
  <si>
    <t>(STK400)</t>
    <phoneticPr fontId="3"/>
  </si>
  <si>
    <t>str No.=</t>
  </si>
  <si>
    <t>Name</t>
    <phoneticPr fontId="3"/>
  </si>
  <si>
    <t>a2=</t>
    <phoneticPr fontId="3"/>
  </si>
  <si>
    <t>x=a+b/2-a2=</t>
    <phoneticPr fontId="3"/>
  </si>
  <si>
    <t>ERBS main frame calculation</t>
    <phoneticPr fontId="3"/>
  </si>
  <si>
    <t>- The analysis model can be used a three-dimensional analysis model</t>
    <phoneticPr fontId="3"/>
  </si>
  <si>
    <t xml:space="preserve">   that takes into account bending and shear deformation of members.</t>
    <phoneticPr fontId="3"/>
  </si>
  <si>
    <t>- The interstory displacement and vertical deflection of the girder are evaluated</t>
    <phoneticPr fontId="3"/>
  </si>
  <si>
    <t xml:space="preserve">   as a uniform beam using the central cross section.</t>
    <phoneticPr fontId="3"/>
  </si>
  <si>
    <t>- The cross-sectional calculation position is set as "Dc/2+a+b/2" from the column center,</t>
    <phoneticPr fontId="3"/>
  </si>
  <si>
    <t xml:space="preserve">   and the verification is performed at the reduced section.</t>
    <phoneticPr fontId="3"/>
  </si>
  <si>
    <t xml:space="preserve">   and checked using the reduced section.</t>
    <phoneticPr fontId="3"/>
  </si>
  <si>
    <t xml:space="preserve">   around the reduced arc is not disturbed.</t>
    <phoneticPr fontId="3"/>
  </si>
  <si>
    <t>Variable cross section beam analysis model</t>
    <phoneticPr fontId="3"/>
  </si>
  <si>
    <t>Title</t>
    <phoneticPr fontId="3"/>
  </si>
  <si>
    <t>ERBS example</t>
    <phoneticPr fontId="3"/>
  </si>
  <si>
    <t>Girder stress output</t>
    <phoneticPr fontId="3"/>
  </si>
  <si>
    <t>Layer</t>
    <phoneticPr fontId="3"/>
  </si>
  <si>
    <t>frame</t>
    <phoneticPr fontId="3"/>
  </si>
  <si>
    <t>axis</t>
    <phoneticPr fontId="3"/>
  </si>
  <si>
    <t>axis -</t>
    <phoneticPr fontId="3"/>
  </si>
  <si>
    <t>name</t>
    <phoneticPr fontId="3"/>
  </si>
  <si>
    <t>case</t>
    <phoneticPr fontId="3"/>
  </si>
  <si>
    <t>Length</t>
  </si>
  <si>
    <t>Length</t>
    <phoneticPr fontId="3"/>
  </si>
  <si>
    <t>of beam</t>
  </si>
  <si>
    <t>of beam</t>
    <phoneticPr fontId="3"/>
  </si>
  <si>
    <t>bending</t>
  </si>
  <si>
    <t>bending</t>
    <phoneticPr fontId="3"/>
  </si>
  <si>
    <t>Left</t>
  </si>
  <si>
    <t>Left</t>
    <phoneticPr fontId="3"/>
  </si>
  <si>
    <t>dumm</t>
  </si>
  <si>
    <t>dumm</t>
    <phoneticPr fontId="3"/>
  </si>
  <si>
    <t>Right</t>
  </si>
  <si>
    <t>Right</t>
    <phoneticPr fontId="3"/>
  </si>
  <si>
    <t>Shear</t>
  </si>
  <si>
    <t>Shear</t>
    <phoneticPr fontId="3"/>
  </si>
  <si>
    <t>Centre</t>
  </si>
  <si>
    <t>Centre</t>
    <phoneticPr fontId="3"/>
  </si>
  <si>
    <t>Axial force</t>
    <phoneticPr fontId="3"/>
  </si>
  <si>
    <t>Center</t>
    <phoneticPr fontId="3"/>
  </si>
  <si>
    <t>case=Dead load</t>
    <phoneticPr fontId="3"/>
  </si>
  <si>
    <t>case=</t>
    <phoneticPr fontId="3"/>
  </si>
  <si>
    <t>Dead load</t>
    <phoneticPr fontId="3"/>
  </si>
  <si>
    <t>Frame</t>
    <phoneticPr fontId="3"/>
  </si>
  <si>
    <t>inner rib</t>
    <phoneticPr fontId="3"/>
  </si>
  <si>
    <t>Brace installation (example)</t>
    <phoneticPr fontId="3"/>
  </si>
  <si>
    <t>2) Confirm that the member length and QL are set in the sheet "str".</t>
    <phoneticPr fontId="3"/>
  </si>
  <si>
    <t>QL at hinge Location</t>
    <phoneticPr fontId="3"/>
  </si>
  <si>
    <t>Lo/D=</t>
    <phoneticPr fontId="3"/>
  </si>
  <si>
    <t xml:space="preserve">     If the names are the same, the data above takes precedence.</t>
    <phoneticPr fontId="3"/>
  </si>
  <si>
    <t xml:space="preserve">(B) Enter the beam shape name in "List" (column A). </t>
    <phoneticPr fontId="3"/>
  </si>
  <si>
    <t xml:space="preserve">　Verify that the bending and shear strength satisfy the RBS design procedure. </t>
    <phoneticPr fontId="3"/>
  </si>
  <si>
    <t>The beam end connection bears the moment of the flange and the shear force of the web.</t>
    <phoneticPr fontId="3"/>
  </si>
  <si>
    <t>・Evaluation of the bending strength of connections</t>
    <phoneticPr fontId="3"/>
  </si>
  <si>
    <t>　Bending moment working at the end connection of the beam is calculated as follows.</t>
    <phoneticPr fontId="3"/>
  </si>
  <si>
    <t xml:space="preserve">　When the permanent load condition is different, </t>
    <phoneticPr fontId="3"/>
  </si>
  <si>
    <t>　the corresponding shearing force Vp should be calculated.</t>
    <phoneticPr fontId="3"/>
  </si>
  <si>
    <t>：the moment demands at the column face.</t>
    <phoneticPr fontId="3"/>
  </si>
  <si>
    <t>：the probable peak plastic hinge moment</t>
    <phoneticPr fontId="3"/>
  </si>
  <si>
    <t>：the peak connection strength coefficient, including strain hardening, local restraint,</t>
    <phoneticPr fontId="3"/>
  </si>
  <si>
    <t xml:space="preserve"> (including the web).</t>
    <phoneticPr fontId="3"/>
  </si>
  <si>
    <t>effective plastic modulus of the section at the location of the plastic hinge</t>
    <phoneticPr fontId="3"/>
  </si>
  <si>
    <t>：the specified design strength</t>
    <phoneticPr fontId="3"/>
  </si>
  <si>
    <t>：the shear force at the plastic hinge.</t>
    <phoneticPr fontId="3"/>
  </si>
  <si>
    <t xml:space="preserve">：the length between the plastic hinge and column face, </t>
    <phoneticPr fontId="3"/>
  </si>
  <si>
    <t>：the concentrated load on the beam center</t>
    <phoneticPr fontId="3"/>
  </si>
  <si>
    <t>：the distributed load on the beam.</t>
    <phoneticPr fontId="3"/>
  </si>
  <si>
    <t>Calculation of shear at a plastic hinge taking into account the gravity loads</t>
    <phoneticPr fontId="3"/>
  </si>
  <si>
    <t>　Calculation of demands at column face</t>
    <phoneticPr fontId="3"/>
  </si>
  <si>
    <t xml:space="preserve"> for Design of Connections in Steel Structures,” etc.</t>
    <phoneticPr fontId="3"/>
  </si>
  <si>
    <t>：Plastic section modulus of beam web considering loss of scallops etc.</t>
    <phoneticPr fontId="3"/>
  </si>
  <si>
    <t>　　　ｍ：Nondimensional bending strength of beam web joints</t>
  </si>
  <si>
    <t>　　　　　　For H-shaped cross section (strong axis direction) m=1</t>
    <phoneticPr fontId="3"/>
  </si>
  <si>
    <t>　　　　　　For SHS section</t>
    <phoneticPr fontId="3"/>
  </si>
  <si>
    <t>・Check the bending strength of the connection</t>
    <phoneticPr fontId="3"/>
  </si>
  <si>
    <t>　If the following equation is satisfied, the design is acceptable.</t>
    <phoneticPr fontId="3"/>
  </si>
  <si>
    <t>: plastic section modulus at beam end，</t>
    <phoneticPr fontId="3"/>
  </si>
  <si>
    <t xml:space="preserve">                   For steel pipe bj=Bc-tcf</t>
    <phoneticPr fontId="3"/>
  </si>
  <si>
    <t>ⅱ) Design for the shear of the connection</t>
    <phoneticPr fontId="3"/>
  </si>
  <si>
    <t>where, Vp: shear due to permanent load.</t>
    <phoneticPr fontId="3"/>
  </si>
  <si>
    <t>: allowable shear stress under temporary forces</t>
    <phoneticPr fontId="3"/>
  </si>
  <si>
    <t>: height of weld access hole</t>
    <phoneticPr fontId="3"/>
  </si>
  <si>
    <t xml:space="preserve">　For the rest, panel zone and continuity plates should be calculated according to </t>
    <phoneticPr fontId="3"/>
  </si>
  <si>
    <t xml:space="preserve">  "Recommendation for Design of Connections in Steel Structures,” etc.</t>
    <phoneticPr fontId="3"/>
  </si>
  <si>
    <t>ⅲ) Prevent local buckling, etc.</t>
    <phoneticPr fontId="3"/>
  </si>
  <si>
    <t>　　To prevent lateral buckling, the procedure for checking the beam is as follows:</t>
    <phoneticPr fontId="3"/>
  </si>
  <si>
    <t xml:space="preserve">・Applying the case “secure the lateral stiffening supports at equal distance </t>
    <phoneticPr fontId="3"/>
  </si>
  <si>
    <t>along the full length of the beam”</t>
    <phoneticPr fontId="3"/>
  </si>
  <si>
    <t xml:space="preserve">     (400 Ｎ quality carbon steel)</t>
    <phoneticPr fontId="3"/>
  </si>
  <si>
    <t xml:space="preserve">     (490 Ｎ quality carbon steel)</t>
    <phoneticPr fontId="3"/>
  </si>
  <si>
    <t xml:space="preserve">    along the minor </t>
    <phoneticPr fontId="3"/>
  </si>
  <si>
    <t>・Applying the case “secure the lateral stiffening member mainly near the beam end”</t>
    <phoneticPr fontId="3"/>
  </si>
  <si>
    <t>　　reduced beam section at the end and the beam center section at the center of the beam.</t>
    <phoneticPr fontId="3"/>
  </si>
  <si>
    <t xml:space="preserve">Multiply the safety factor α with the moment distribution for calculating the lateral </t>
    <phoneticPr fontId="3"/>
  </si>
  <si>
    <t xml:space="preserve">stiffening supports. The safety factor α is 1.2 for 400 N quality carbon steel, and 1.1 for 490 N </t>
    <phoneticPr fontId="3"/>
  </si>
  <si>
    <t>quality carbon steel.</t>
    <phoneticPr fontId="3"/>
  </si>
  <si>
    <t xml:space="preserve">    　For 400 Ｎ quality carbon steel,</t>
    <phoneticPr fontId="3"/>
  </si>
  <si>
    <t xml:space="preserve">   　For 490 Ｎ quality carbon steel,</t>
    <phoneticPr fontId="3"/>
  </si>
  <si>
    <t>：flange cross-sectional area at the center,</t>
    <phoneticPr fontId="3"/>
  </si>
  <si>
    <t>：the distance between the supports at the reduced beam section</t>
    <phoneticPr fontId="3"/>
  </si>
  <si>
    <t>：the distance between the supports at the center</t>
    <phoneticPr fontId="3"/>
  </si>
  <si>
    <t>RBS section check</t>
    <phoneticPr fontId="3"/>
  </si>
  <si>
    <t>ERBS shape BH type (column: SHS)</t>
    <phoneticPr fontId="3"/>
  </si>
  <si>
    <t>continuity plate</t>
    <phoneticPr fontId="3"/>
  </si>
  <si>
    <t>continuity plate (through)</t>
    <phoneticPr fontId="3"/>
  </si>
  <si>
    <t>Bolt bending strength</t>
    <phoneticPr fontId="3"/>
  </si>
  <si>
    <t>tg: gusset plate thickness</t>
    <phoneticPr fontId="3"/>
  </si>
  <si>
    <t>qbu: maximum shear strength per bolt</t>
    <phoneticPr fontId="3"/>
  </si>
  <si>
    <t>y0: distance between bolt bending centers of gravity</t>
    <phoneticPr fontId="3"/>
  </si>
  <si>
    <t>Add welding when jMwu&gt;[Bolt bending strength]</t>
    <phoneticPr fontId="3"/>
  </si>
  <si>
    <t>hl: horizontal length of welding</t>
    <phoneticPr fontId="3"/>
  </si>
  <si>
    <t>vl: vertical length of welding</t>
    <phoneticPr fontId="3"/>
  </si>
  <si>
    <t>jMwu: web shear plate bending strength</t>
    <phoneticPr fontId="3"/>
  </si>
  <si>
    <t>Check of web bolt connections (when considering web strength)</t>
    <phoneticPr fontId="3"/>
  </si>
  <si>
    <t>ERBS section check</t>
    <phoneticPr fontId="3"/>
  </si>
  <si>
    <t xml:space="preserve">   Beam and column shape</t>
    <phoneticPr fontId="3"/>
  </si>
  <si>
    <t>-</t>
  </si>
  <si>
    <t>-</t>
    <phoneticPr fontId="3"/>
  </si>
  <si>
    <t>axis,　</t>
    <phoneticPr fontId="3"/>
  </si>
  <si>
    <t xml:space="preserve"> Level,  </t>
    <phoneticPr fontId="3"/>
  </si>
  <si>
    <t xml:space="preserve"> </t>
    <phoneticPr fontId="3"/>
  </si>
  <si>
    <t>Beam: reduced section H-</t>
    <phoneticPr fontId="3"/>
  </si>
  <si>
    <t xml:space="preserve">  H type  f=2bf/3=</t>
    <phoneticPr fontId="3"/>
  </si>
  <si>
    <t xml:space="preserve">  BH type f=1.2bf=</t>
    <phoneticPr fontId="3"/>
  </si>
  <si>
    <t>RBS check</t>
    <phoneticPr fontId="3"/>
  </si>
  <si>
    <t>Lateral stiffening check</t>
    <phoneticPr fontId="3"/>
  </si>
  <si>
    <t>End of beam Lb=</t>
    <phoneticPr fontId="3"/>
  </si>
  <si>
    <t>End of beam</t>
    <phoneticPr fontId="3"/>
  </si>
  <si>
    <t>Equal=1/End</t>
    <phoneticPr fontId="3"/>
  </si>
  <si>
    <t>~ Check of bolt joint strength when considering web yield strength. Pass with web welding.</t>
    <phoneticPr fontId="3"/>
  </si>
  <si>
    <t>Web：bolt=1,weld=2</t>
    <phoneticPr fontId="3"/>
  </si>
  <si>
    <t>(Stress increase rate at column face/hinge)</t>
    <phoneticPr fontId="3"/>
  </si>
  <si>
    <t>Web contribution=1</t>
    <phoneticPr fontId="3"/>
  </si>
  <si>
    <t>Column material</t>
    <phoneticPr fontId="3"/>
  </si>
  <si>
    <t>=0: rigid, 1: left pin, 2: right pin</t>
    <phoneticPr fontId="3"/>
  </si>
  <si>
    <t>beam length Lo=</t>
    <phoneticPr fontId="3"/>
  </si>
  <si>
    <t>web hight ls=</t>
    <phoneticPr fontId="3"/>
  </si>
  <si>
    <t>Direct</t>
    <phoneticPr fontId="3"/>
  </si>
  <si>
    <t>Default</t>
    <phoneticPr fontId="3"/>
  </si>
  <si>
    <t>beam material</t>
    <phoneticPr fontId="3"/>
  </si>
  <si>
    <t>QL(direct)=</t>
    <phoneticPr fontId="3"/>
  </si>
  <si>
    <t>L(direct)=</t>
    <phoneticPr fontId="3"/>
  </si>
  <si>
    <t>Correction distance between hinges～column Dc</t>
    <phoneticPr fontId="3"/>
  </si>
  <si>
    <t>mm Distance between hinges</t>
    <phoneticPr fontId="3"/>
  </si>
  <si>
    <t>kN   Bolt bending center distance y=</t>
  </si>
  <si>
    <t xml:space="preserve">Shear: Considering </t>
    <phoneticPr fontId="3"/>
  </si>
  <si>
    <t>Bending: considering</t>
    <phoneticPr fontId="3"/>
  </si>
  <si>
    <t>mm, Weld distance jb2=</t>
    <phoneticPr fontId="3"/>
  </si>
  <si>
    <t>Reinforcement welding,</t>
    <phoneticPr fontId="3"/>
  </si>
  <si>
    <t>jb2=</t>
    <phoneticPr fontId="3"/>
  </si>
  <si>
    <t>ERBS shape BH type  (column: wide flange)</t>
    <phoneticPr fontId="3"/>
  </si>
  <si>
    <t>Wide flange column</t>
    <phoneticPr fontId="3"/>
  </si>
  <si>
    <t>ERBS shape  (column: pipe)</t>
    <phoneticPr fontId="3"/>
  </si>
  <si>
    <t>continuity plate (through)</t>
  </si>
  <si>
    <t>continuity plate</t>
  </si>
  <si>
    <t>RBS section check (Web bending strength considered, lateral buckling: end, web: bolted connection)</t>
    <phoneticPr fontId="3"/>
  </si>
  <si>
    <t>ERBS section check</t>
  </si>
  <si>
    <t xml:space="preserve">   Beam and column shape</t>
  </si>
  <si>
    <t xml:space="preserve"> Level,  </t>
  </si>
  <si>
    <t>axis,　</t>
  </si>
  <si>
    <t>Beam: reduced section H-</t>
  </si>
  <si>
    <t>web hight ls=</t>
  </si>
  <si>
    <t>Web contribution=1</t>
  </si>
  <si>
    <t>=0: rigid, 1: left pin, 2: right pin</t>
  </si>
  <si>
    <t>Default</t>
  </si>
  <si>
    <t>Direct</t>
  </si>
  <si>
    <t xml:space="preserve">  H type  f=2bf/3=</t>
  </si>
  <si>
    <t xml:space="preserve">  BH type f=1.2bf=</t>
  </si>
  <si>
    <t>beam material</t>
  </si>
  <si>
    <t>QL(direct)=</t>
  </si>
  <si>
    <t>L(direct)=</t>
  </si>
  <si>
    <t>Correction distance between hinges～column Dc</t>
  </si>
  <si>
    <t>mm Distance between hinges</t>
  </si>
  <si>
    <t>RBS check</t>
  </si>
  <si>
    <t>Lateral stiffening check</t>
  </si>
  <si>
    <t>End of beam Lb=</t>
  </si>
  <si>
    <t>End of beam</t>
  </si>
  <si>
    <t>Equal=1/End</t>
  </si>
  <si>
    <t>Web：bolt=1,weld=2</t>
  </si>
  <si>
    <t>~ Check of bolt joint strength when considering web yield strength. Pass with web welding.</t>
  </si>
  <si>
    <t xml:space="preserve">  The lateral stiffening supports the distance at the beam end within the range for "L/ne". </t>
    <phoneticPr fontId="3"/>
  </si>
  <si>
    <t xml:space="preserve">The lateral stiffening supports number "ne" with a slenderness ratio along the minor axis </t>
    <phoneticPr fontId="3"/>
  </si>
  <si>
    <t>of the reduced beam section "λye" by satisfying the following equation.</t>
    <phoneticPr fontId="3"/>
  </si>
  <si>
    <t xml:space="preserve"> The lateral stiffening interval at the center of the beam is within the range for "L/ne".</t>
    <phoneticPr fontId="3"/>
  </si>
  <si>
    <t xml:space="preserve">    "nc" is the lateral stiffening number with a slenderness ratio along the minor axis </t>
    <phoneticPr fontId="3"/>
  </si>
  <si>
    <t xml:space="preserve">  of the beam center section "λyc" by satisfying the following equation.</t>
    <phoneticPr fontId="3"/>
  </si>
  <si>
    <t>　and mechanism, shown below.</t>
    <phoneticPr fontId="3"/>
  </si>
  <si>
    <t>additional reinforcement, and other connection conditions.  Cpr=1.15 for RBS.</t>
    <phoneticPr fontId="3"/>
  </si>
  <si>
    <t>A coefficient applicable to the beam or girder material, Ry=1.1.</t>
    <phoneticPr fontId="3"/>
  </si>
  <si>
    <t>Check the RBS section</t>
    <phoneticPr fontId="3"/>
  </si>
  <si>
    <t>　In this procedure, the beam end moment is determined using the load condition</t>
    <phoneticPr fontId="3"/>
  </si>
  <si>
    <t>When evaluating the bending strength of the web, refer to the “AIJ, 2001, Recommendation</t>
    <phoneticPr fontId="3"/>
  </si>
  <si>
    <t>: effective width of column For SHS bj=Bc-2tcf</t>
    <phoneticPr fontId="3"/>
  </si>
  <si>
    <t>　Calculate the shear at the column face, according to the equation:</t>
    <phoneticPr fontId="3"/>
  </si>
  <si>
    <t>: slenderness ratio along the minor axis of the beam center section (=L/iyc)</t>
    <phoneticPr fontId="3"/>
  </si>
  <si>
    <t>: slenderness ratio along the minor axis of the reduced beam section (=L/iye)</t>
    <phoneticPr fontId="3"/>
  </si>
  <si>
    <t>: radius of gyration along the minor axis of the reduced beam section, iye = √(Iy1/A1)</t>
    <phoneticPr fontId="3"/>
  </si>
  <si>
    <t>: radius of gyration along the minor axis of the beam center section, iyc = √(Iy/A)</t>
    <phoneticPr fontId="3"/>
  </si>
  <si>
    <t xml:space="preserve">  : moment of inertia of the reduced beam section and beam center section axis.</t>
    <phoneticPr fontId="3"/>
  </si>
  <si>
    <t xml:space="preserve"> : area of the reduced beam section and the beam center section.</t>
    <phoneticPr fontId="3"/>
  </si>
  <si>
    <t xml:space="preserve">    Secure the lateral stiffening supports at the distance calculated using the following equation </t>
    <phoneticPr fontId="3"/>
  </si>
  <si>
    <t xml:space="preserve">  in the area where the bending moment exceeds the yield moment. The moment distribution </t>
    <phoneticPr fontId="3"/>
  </si>
  <si>
    <t xml:space="preserve">  used to calculate the lateral stiffening supports is also estimated, assuming that the moment </t>
    <phoneticPr fontId="3"/>
  </si>
  <si>
    <t>: flange cross-sectional area at reduced section,</t>
    <phoneticPr fontId="3"/>
  </si>
  <si>
    <t>- Verification of the shape and face cross section of the RBS beam will be calculated later.</t>
    <phoneticPr fontId="3"/>
  </si>
  <si>
    <t>1) Paste the beam dead load stress etc. on the sheet “out”.</t>
    <phoneticPr fontId="3"/>
  </si>
  <si>
    <t>3) Input data into sheet ”shs”, "wf", "pipe". Fill in the blue cells.</t>
    <phoneticPr fontId="3"/>
  </si>
  <si>
    <t>- 
Check the beam joint by another modified calculation data.</t>
    <phoneticPr fontId="3"/>
  </si>
  <si>
    <t>- A structural calculation program is used to the design of the main frame in this example.</t>
    <phoneticPr fontId="3"/>
  </si>
  <si>
    <t>(A) Enter a comment.</t>
    <phoneticPr fontId="3"/>
  </si>
  <si>
    <t>(C) Enter the beam position number "str" (column A).</t>
    <phoneticPr fontId="3"/>
  </si>
  <si>
    <t>ⅰ) Design for the beam end moment</t>
    <phoneticPr fontId="3"/>
  </si>
  <si>
    <t>,where L: beam length</t>
    <phoneticPr fontId="3"/>
  </si>
  <si>
    <t xml:space="preserve">  at the column face is Mf. Furthermore, the yield moment should be calculated using the </t>
    <phoneticPr fontId="3"/>
  </si>
  <si>
    <t>the distance between the supports at the end:</t>
    <phoneticPr fontId="3"/>
  </si>
  <si>
    <t>the distance between the supports at the center:</t>
    <phoneticPr fontId="3"/>
  </si>
  <si>
    <t>Beam: column face H-</t>
  </si>
  <si>
    <t>column section □-</t>
  </si>
  <si>
    <t>column section H-</t>
  </si>
  <si>
    <t>column section φ-</t>
  </si>
  <si>
    <t>Equal distance</t>
  </si>
  <si>
    <t>y1: distance between weld bending centers of gravity</t>
    <phoneticPr fontId="3"/>
  </si>
  <si>
    <t xml:space="preserve">- Remark: If a brace is installed, design must be made to ensure that the deformation </t>
    <phoneticPr fontId="3"/>
  </si>
  <si>
    <t>Qu,w+Qu,w=</t>
    <phoneticPr fontId="3"/>
  </si>
  <si>
    <t>Number of shear bolts</t>
    <phoneticPr fontId="3"/>
  </si>
  <si>
    <t>Welding shear strength:</t>
    <phoneticPr fontId="3"/>
  </si>
  <si>
    <t xml:space="preserve">Bending: considering </t>
    <phoneticPr fontId="3"/>
  </si>
  <si>
    <t>vls: vertical length of welding (shear)</t>
    <phoneticPr fontId="3"/>
  </si>
  <si>
    <t>Change history</t>
    <phoneticPr fontId="3"/>
  </si>
  <si>
    <t>For shear strength, welding strength is additionally considered when the web gusset connection is bolted.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</si>
</sst>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176" formatCode="0.0"/>
    <numFmt numFmtId="177" formatCode="0.000"/>
    <numFmt numFmtId="178" formatCode="0.00_ "/>
    <numFmt numFmtId="179" formatCode="0.0_ "/>
    <numFmt numFmtId="180" formatCode="0_ "/>
    <numFmt numFmtId="181" formatCode="&quot;No=&quot;#"/>
    <numFmt numFmtId="182" formatCode="General&quot;mm&quot;"/>
    <numFmt numFmtId="183" formatCode="&quot;Bc=&quot;General"/>
    <numFmt numFmtId="184" formatCode="&quot;Dc=&quot;General"/>
    <numFmt numFmtId="185" formatCode="0.0000"/>
    <numFmt numFmtId="186" formatCode="&quot;右端：&quot;General"/>
    <numFmt numFmtId="187" formatCode="&quot;H=&quot;General"/>
    <numFmt numFmtId="188" formatCode="&quot;B=&quot;General"/>
    <numFmt numFmtId="189" formatCode="&quot;tw=&quot;General"/>
    <numFmt numFmtId="190" formatCode="&quot;tf=&quot;General"/>
    <numFmt numFmtId="191" formatCode="&quot;r=&quot;General"/>
    <numFmt numFmtId="192" formatCode="&quot;Zpx=&quot;General"/>
    <numFmt numFmtId="193" formatCode="&quot;A=&quot;General"/>
    <numFmt numFmtId="194" formatCode="&quot;Iy=&quot;General"/>
    <numFmt numFmtId="195" formatCode="&quot;iy=&quot;General"/>
    <numFmt numFmtId="196" formatCode="&quot;tcf=&quot;General"/>
    <numFmt numFmtId="197" formatCode="&quot;db=&quot;General"/>
    <numFmt numFmtId="198" formatCode="&quot;bf=&quot;General"/>
    <numFmt numFmtId="199" formatCode="&quot;bf0=&quot;General"/>
    <numFmt numFmtId="200" formatCode="&quot;a=&quot;General"/>
    <numFmt numFmtId="201" formatCode="&quot;b=&quot;General"/>
    <numFmt numFmtId="202" formatCode="&quot;c=&quot;General"/>
    <numFmt numFmtId="203" formatCode="&quot;bf1=&quot;General"/>
    <numFmt numFmtId="204" formatCode="&quot;bfe=&quot;General"/>
    <numFmt numFmtId="205" formatCode="&quot;LQL=&quot;General"/>
    <numFmt numFmtId="206" formatCode="&quot;RQL=&quot;General"/>
    <numFmt numFmtId="207" formatCode="&quot;a2=&quot;General"/>
    <numFmt numFmtId="208" formatCode="&quot;Ls=&quot;General"/>
    <numFmt numFmtId="209" formatCode="&quot;vL=&quot;General"/>
    <numFmt numFmtId="210" formatCode="&quot;vLs=&quot;General"/>
  </numFmts>
  <fonts count="2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Times New Roman"/>
      <family val="1"/>
    </font>
    <font>
      <sz val="10"/>
      <name val="Times New Roman"/>
      <family val="1"/>
    </font>
    <font>
      <sz val="11"/>
      <color rgb="FF0000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color rgb="FF000000"/>
      <name val="Times New Roman"/>
      <family val="1"/>
    </font>
    <font>
      <b/>
      <sz val="9"/>
      <color indexed="81"/>
      <name val="MS P ゴシック"/>
      <family val="3"/>
      <charset val="128"/>
    </font>
    <font>
      <u/>
      <sz val="11"/>
      <name val="ＭＳ Ｐゴシック"/>
      <family val="3"/>
      <charset val="128"/>
    </font>
    <font>
      <sz val="11"/>
      <color rgb="FF0000FF"/>
      <name val="Times New Roman"/>
      <family val="1"/>
    </font>
    <font>
      <sz val="10.5"/>
      <name val="Century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21" applyNumberFormat="0" applyAlignment="0" applyProtection="0">
      <alignment vertical="center"/>
    </xf>
    <xf numFmtId="0" fontId="16" fillId="6" borderId="22" applyNumberFormat="0" applyAlignment="0" applyProtection="0">
      <alignment vertical="center"/>
    </xf>
    <xf numFmtId="0" fontId="17" fillId="6" borderId="21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7" borderId="2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25" applyNumberFormat="0" applyFont="0" applyAlignment="0" applyProtection="0">
      <alignment vertical="center"/>
    </xf>
    <xf numFmtId="0" fontId="24" fillId="0" borderId="0"/>
    <xf numFmtId="0" fontId="1" fillId="0" borderId="0">
      <alignment vertical="center"/>
    </xf>
  </cellStyleXfs>
  <cellXfs count="127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0" fillId="0" borderId="7" xfId="0" applyBorder="1"/>
    <xf numFmtId="0" fontId="0" fillId="0" borderId="13" xfId="0" applyBorder="1"/>
    <xf numFmtId="0" fontId="0" fillId="0" borderId="0" xfId="0" quotePrefix="1"/>
    <xf numFmtId="2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4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shrinkToFit="1"/>
    </xf>
    <xf numFmtId="0" fontId="4" fillId="0" borderId="2" xfId="0" applyFont="1" applyBorder="1" applyAlignment="1">
      <alignment horizontal="center" shrinkToFit="1"/>
    </xf>
    <xf numFmtId="0" fontId="4" fillId="0" borderId="1" xfId="0" applyFont="1" applyBorder="1"/>
    <xf numFmtId="1" fontId="4" fillId="0" borderId="1" xfId="0" applyNumberFormat="1" applyFont="1" applyBorder="1"/>
    <xf numFmtId="178" fontId="4" fillId="0" borderId="1" xfId="0" applyNumberFormat="1" applyFont="1" applyBorder="1"/>
    <xf numFmtId="177" fontId="4" fillId="0" borderId="1" xfId="0" applyNumberFormat="1" applyFont="1" applyBorder="1"/>
    <xf numFmtId="179" fontId="4" fillId="0" borderId="1" xfId="0" applyNumberFormat="1" applyFont="1" applyBorder="1"/>
    <xf numFmtId="0" fontId="6" fillId="0" borderId="0" xfId="0" applyFont="1"/>
    <xf numFmtId="0" fontId="0" fillId="0" borderId="12" xfId="0" applyBorder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176" fontId="0" fillId="0" borderId="0" xfId="0" applyNumberFormat="1"/>
    <xf numFmtId="1" fontId="0" fillId="0" borderId="0" xfId="0" applyNumberFormat="1"/>
    <xf numFmtId="0" fontId="0" fillId="0" borderId="0" xfId="0" applyAlignment="1">
      <alignment horizontal="left" vertical="center"/>
    </xf>
    <xf numFmtId="181" fontId="6" fillId="0" borderId="0" xfId="0" applyNumberFormat="1" applyFont="1"/>
    <xf numFmtId="0" fontId="0" fillId="0" borderId="0" xfId="0" applyAlignment="1">
      <alignment shrinkToFit="1"/>
    </xf>
    <xf numFmtId="0" fontId="0" fillId="0" borderId="0" xfId="0" applyAlignment="1">
      <alignment vertical="center" shrinkToFit="1"/>
    </xf>
    <xf numFmtId="56" fontId="0" fillId="0" borderId="0" xfId="0" applyNumberFormat="1" applyAlignment="1">
      <alignment vertical="center" shrinkToFit="1"/>
    </xf>
    <xf numFmtId="0" fontId="6" fillId="0" borderId="0" xfId="0" applyFont="1" applyAlignment="1">
      <alignment shrinkToFit="1"/>
    </xf>
    <xf numFmtId="178" fontId="0" fillId="0" borderId="0" xfId="0" applyNumberFormat="1"/>
    <xf numFmtId="177" fontId="0" fillId="0" borderId="0" xfId="0" applyNumberFormat="1"/>
    <xf numFmtId="182" fontId="0" fillId="0" borderId="0" xfId="0" applyNumberFormat="1" applyAlignment="1">
      <alignment horizontal="left"/>
    </xf>
    <xf numFmtId="182" fontId="0" fillId="0" borderId="0" xfId="0" applyNumberFormat="1" applyAlignment="1">
      <alignment vertical="center"/>
    </xf>
    <xf numFmtId="0" fontId="0" fillId="0" borderId="7" xfId="0" applyBorder="1" applyAlignment="1">
      <alignment horizontal="right"/>
    </xf>
    <xf numFmtId="0" fontId="0" fillId="0" borderId="13" xfId="0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6" xfId="0" applyBorder="1" applyAlignment="1">
      <alignment horizontal="right"/>
    </xf>
    <xf numFmtId="0" fontId="0" fillId="0" borderId="12" xfId="0" applyBorder="1" applyAlignment="1">
      <alignment horizontal="right"/>
    </xf>
    <xf numFmtId="182" fontId="0" fillId="0" borderId="12" xfId="0" applyNumberFormat="1" applyBorder="1" applyAlignment="1">
      <alignment horizontal="left"/>
    </xf>
    <xf numFmtId="1" fontId="0" fillId="0" borderId="12" xfId="0" applyNumberFormat="1" applyBorder="1"/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vertical="center"/>
    </xf>
    <xf numFmtId="0" fontId="0" fillId="0" borderId="12" xfId="0" applyBorder="1" applyAlignment="1">
      <alignment horizontal="right" vertical="center"/>
    </xf>
    <xf numFmtId="183" fontId="6" fillId="0" borderId="0" xfId="0" applyNumberFormat="1" applyFont="1"/>
    <xf numFmtId="182" fontId="0" fillId="0" borderId="0" xfId="0" applyNumberFormat="1"/>
    <xf numFmtId="0" fontId="26" fillId="0" borderId="0" xfId="0" applyFont="1" applyAlignment="1">
      <alignment horizontal="left" indent="2"/>
    </xf>
    <xf numFmtId="185" fontId="0" fillId="0" borderId="0" xfId="0" applyNumberFormat="1" applyAlignment="1">
      <alignment vertical="center"/>
    </xf>
    <xf numFmtId="180" fontId="27" fillId="0" borderId="1" xfId="0" applyNumberFormat="1" applyFont="1" applyBorder="1"/>
    <xf numFmtId="176" fontId="27" fillId="0" borderId="1" xfId="0" applyNumberFormat="1" applyFont="1" applyBorder="1"/>
    <xf numFmtId="0" fontId="0" fillId="0" borderId="4" xfId="0" applyBorder="1" applyAlignment="1">
      <alignment shrinkToFit="1"/>
    </xf>
    <xf numFmtId="187" fontId="6" fillId="0" borderId="0" xfId="0" applyNumberFormat="1" applyFont="1"/>
    <xf numFmtId="0" fontId="27" fillId="0" borderId="1" xfId="0" applyFont="1" applyBorder="1"/>
    <xf numFmtId="1" fontId="27" fillId="0" borderId="1" xfId="0" applyNumberFormat="1" applyFont="1" applyBorder="1"/>
    <xf numFmtId="192" fontId="0" fillId="0" borderId="0" xfId="0" applyNumberFormat="1" applyAlignment="1">
      <alignment shrinkToFit="1"/>
    </xf>
    <xf numFmtId="187" fontId="0" fillId="0" borderId="0" xfId="0" applyNumberFormat="1" applyAlignment="1">
      <alignment shrinkToFit="1"/>
    </xf>
    <xf numFmtId="188" fontId="0" fillId="0" borderId="0" xfId="0" applyNumberFormat="1" applyAlignment="1">
      <alignment shrinkToFit="1"/>
    </xf>
    <xf numFmtId="190" fontId="0" fillId="0" borderId="0" xfId="0" applyNumberFormat="1" applyAlignment="1">
      <alignment shrinkToFit="1"/>
    </xf>
    <xf numFmtId="193" fontId="0" fillId="0" borderId="0" xfId="0" applyNumberFormat="1" applyAlignment="1">
      <alignment shrinkToFit="1"/>
    </xf>
    <xf numFmtId="194" fontId="0" fillId="0" borderId="0" xfId="0" applyNumberFormat="1" applyAlignment="1">
      <alignment shrinkToFit="1"/>
    </xf>
    <xf numFmtId="195" fontId="0" fillId="0" borderId="0" xfId="0" applyNumberFormat="1" applyAlignment="1">
      <alignment shrinkToFit="1"/>
    </xf>
    <xf numFmtId="183" fontId="6" fillId="0" borderId="0" xfId="0" applyNumberFormat="1" applyFont="1" applyAlignment="1">
      <alignment shrinkToFit="1"/>
    </xf>
    <xf numFmtId="196" fontId="6" fillId="0" borderId="0" xfId="0" applyNumberFormat="1" applyFont="1" applyAlignment="1">
      <alignment shrinkToFit="1"/>
    </xf>
    <xf numFmtId="189" fontId="6" fillId="0" borderId="0" xfId="0" applyNumberFormat="1" applyFont="1" applyAlignment="1">
      <alignment shrinkToFit="1"/>
    </xf>
    <xf numFmtId="190" fontId="6" fillId="0" borderId="0" xfId="0" applyNumberFormat="1" applyFont="1" applyAlignment="1">
      <alignment shrinkToFit="1"/>
    </xf>
    <xf numFmtId="191" fontId="0" fillId="0" borderId="0" xfId="0" applyNumberFormat="1" applyAlignment="1">
      <alignment shrinkToFit="1"/>
    </xf>
    <xf numFmtId="0" fontId="0" fillId="0" borderId="0" xfId="0" applyAlignment="1">
      <alignment horizontal="center" shrinkToFit="1"/>
    </xf>
    <xf numFmtId="197" fontId="6" fillId="0" borderId="0" xfId="0" applyNumberFormat="1" applyFont="1" applyAlignment="1">
      <alignment shrinkToFit="1"/>
    </xf>
    <xf numFmtId="198" fontId="0" fillId="0" borderId="0" xfId="0" applyNumberFormat="1" applyAlignment="1">
      <alignment shrinkToFit="1"/>
    </xf>
    <xf numFmtId="198" fontId="6" fillId="0" borderId="0" xfId="0" applyNumberFormat="1" applyFont="1" applyAlignment="1">
      <alignment shrinkToFit="1"/>
    </xf>
    <xf numFmtId="199" fontId="0" fillId="0" borderId="0" xfId="0" applyNumberFormat="1" applyAlignment="1">
      <alignment shrinkToFit="1"/>
    </xf>
    <xf numFmtId="199" fontId="6" fillId="0" borderId="0" xfId="0" applyNumberFormat="1" applyFont="1" applyAlignment="1">
      <alignment shrinkToFit="1"/>
    </xf>
    <xf numFmtId="200" fontId="0" fillId="0" borderId="0" xfId="0" applyNumberFormat="1" applyAlignment="1">
      <alignment shrinkToFit="1"/>
    </xf>
    <xf numFmtId="200" fontId="6" fillId="0" borderId="0" xfId="0" applyNumberFormat="1" applyFont="1" applyAlignment="1">
      <alignment shrinkToFit="1"/>
    </xf>
    <xf numFmtId="201" fontId="0" fillId="0" borderId="0" xfId="0" applyNumberFormat="1" applyAlignment="1">
      <alignment shrinkToFit="1"/>
    </xf>
    <xf numFmtId="201" fontId="6" fillId="0" borderId="0" xfId="0" applyNumberFormat="1" applyFont="1" applyAlignment="1">
      <alignment shrinkToFit="1"/>
    </xf>
    <xf numFmtId="202" fontId="0" fillId="0" borderId="0" xfId="0" applyNumberFormat="1" applyAlignment="1">
      <alignment shrinkToFit="1"/>
    </xf>
    <xf numFmtId="202" fontId="6" fillId="0" borderId="0" xfId="0" applyNumberFormat="1" applyFont="1" applyAlignment="1">
      <alignment shrinkToFit="1"/>
    </xf>
    <xf numFmtId="191" fontId="6" fillId="0" borderId="0" xfId="0" applyNumberFormat="1" applyFont="1" applyAlignment="1">
      <alignment shrinkToFit="1"/>
    </xf>
    <xf numFmtId="203" fontId="0" fillId="0" borderId="0" xfId="0" applyNumberFormat="1" applyAlignment="1">
      <alignment shrinkToFit="1"/>
    </xf>
    <xf numFmtId="203" fontId="6" fillId="0" borderId="0" xfId="0" applyNumberFormat="1" applyFont="1" applyAlignment="1">
      <alignment shrinkToFit="1"/>
    </xf>
    <xf numFmtId="204" fontId="0" fillId="0" borderId="0" xfId="0" applyNumberFormat="1" applyAlignment="1">
      <alignment shrinkToFit="1"/>
    </xf>
    <xf numFmtId="204" fontId="6" fillId="0" borderId="0" xfId="0" applyNumberFormat="1" applyFont="1" applyAlignment="1">
      <alignment shrinkToFit="1"/>
    </xf>
    <xf numFmtId="205" fontId="6" fillId="0" borderId="0" xfId="0" applyNumberFormat="1" applyFont="1" applyAlignment="1">
      <alignment shrinkToFit="1"/>
    </xf>
    <xf numFmtId="206" fontId="6" fillId="0" borderId="0" xfId="0" applyNumberFormat="1" applyFont="1" applyAlignment="1">
      <alignment shrinkToFit="1"/>
    </xf>
    <xf numFmtId="182" fontId="6" fillId="0" borderId="0" xfId="0" applyNumberFormat="1" applyFont="1" applyAlignment="1">
      <alignment vertical="center"/>
    </xf>
    <xf numFmtId="0" fontId="0" fillId="0" borderId="8" xfId="0" applyBorder="1" applyAlignment="1">
      <alignment horizontal="center"/>
    </xf>
    <xf numFmtId="186" fontId="0" fillId="0" borderId="0" xfId="0" applyNumberFormat="1" applyAlignment="1">
      <alignment horizontal="left" shrinkToFit="1"/>
    </xf>
    <xf numFmtId="197" fontId="0" fillId="0" borderId="0" xfId="0" applyNumberFormat="1"/>
    <xf numFmtId="1" fontId="6" fillId="0" borderId="0" xfId="0" applyNumberFormat="1" applyFont="1"/>
    <xf numFmtId="0" fontId="0" fillId="0" borderId="0" xfId="0" quotePrefix="1" applyAlignment="1">
      <alignment horizontal="right"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184" fontId="6" fillId="0" borderId="0" xfId="0" applyNumberFormat="1" applyFont="1" applyAlignment="1">
      <alignment shrinkToFit="1"/>
    </xf>
    <xf numFmtId="0" fontId="4" fillId="0" borderId="16" xfId="0" applyFont="1" applyBorder="1" applyAlignment="1">
      <alignment horizontal="centerContinuous" vertical="center" shrinkToFit="1"/>
    </xf>
    <xf numFmtId="0" fontId="4" fillId="0" borderId="17" xfId="0" applyFont="1" applyBorder="1" applyAlignment="1">
      <alignment horizontal="centerContinuous" vertical="center" shrinkToFit="1"/>
    </xf>
    <xf numFmtId="0" fontId="6" fillId="0" borderId="1" xfId="0" applyFont="1" applyBorder="1" applyAlignment="1">
      <alignment shrinkToFit="1"/>
    </xf>
    <xf numFmtId="0" fontId="4" fillId="0" borderId="5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shrinkToFit="1"/>
    </xf>
    <xf numFmtId="183" fontId="0" fillId="0" borderId="0" xfId="0" applyNumberFormat="1"/>
    <xf numFmtId="207" fontId="0" fillId="0" borderId="0" xfId="0" applyNumberFormat="1"/>
    <xf numFmtId="207" fontId="0" fillId="0" borderId="0" xfId="0" applyNumberFormat="1" applyAlignment="1">
      <alignment horizontal="right"/>
    </xf>
    <xf numFmtId="182" fontId="0" fillId="0" borderId="13" xfId="0" applyNumberFormat="1" applyBorder="1" applyAlignment="1">
      <alignment horizontal="left"/>
    </xf>
    <xf numFmtId="0" fontId="7" fillId="0" borderId="9" xfId="0" applyFont="1" applyBorder="1" applyAlignment="1">
      <alignment horizontal="right"/>
    </xf>
    <xf numFmtId="0" fontId="0" fillId="0" borderId="7" xfId="0" quotePrefix="1" applyBorder="1" applyAlignment="1">
      <alignment horizontal="right"/>
    </xf>
    <xf numFmtId="186" fontId="0" fillId="0" borderId="0" xfId="0" applyNumberFormat="1" applyAlignment="1">
      <alignment horizontal="left"/>
    </xf>
    <xf numFmtId="0" fontId="4" fillId="0" borderId="0" xfId="0" quotePrefix="1" applyFont="1"/>
    <xf numFmtId="0" fontId="4" fillId="0" borderId="0" xfId="0" applyFont="1" applyAlignment="1">
      <alignment horizontal="center"/>
    </xf>
    <xf numFmtId="208" fontId="6" fillId="0" borderId="0" xfId="0" applyNumberFormat="1" applyFont="1"/>
    <xf numFmtId="209" fontId="0" fillId="0" borderId="0" xfId="0" applyNumberFormat="1"/>
    <xf numFmtId="210" fontId="6" fillId="0" borderId="0" xfId="0" applyNumberFormat="1" applyFont="1"/>
    <xf numFmtId="14" fontId="0" fillId="0" borderId="0" xfId="0" applyNumberFormat="1" applyAlignment="1">
      <alignment shrinkToFit="1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right" vertical="center"/>
    </xf>
    <xf numFmtId="14" fontId="5" fillId="0" borderId="12" xfId="0" applyNumberFormat="1" applyFont="1" applyBorder="1" applyAlignment="1">
      <alignment horizontal="right" vertical="center"/>
    </xf>
  </cellXfs>
  <cellStyles count="45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 2" xfId="42" xr:uid="{00000000-0005-0000-0000-00001C000000}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6" builtinId="25" customBuiltin="1"/>
    <cellStyle name="出力" xfId="10" builtinId="21" customBuiltin="1"/>
    <cellStyle name="説明文" xfId="15" builtinId="53" customBuiltin="1"/>
    <cellStyle name="入力" xfId="9" builtinId="20" customBuiltin="1"/>
    <cellStyle name="標準" xfId="0" builtinId="0"/>
    <cellStyle name="標準 2" xfId="41" xr:uid="{00000000-0005-0000-0000-00002A000000}"/>
    <cellStyle name="標準 3" xfId="43" xr:uid="{126F418F-888B-4FE7-BA6B-E949DCA77EB0}"/>
    <cellStyle name="標準 4" xfId="44" xr:uid="{F93E900F-25CB-42A2-BAE8-1F5AF03F8AA8}"/>
    <cellStyle name="良い" xfId="6" builtinId="26" customBuiltin="1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4" Type="http://schemas.openxmlformats.org/officeDocument/2006/relationships/image" Target="../media/image1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png"/><Relationship Id="rId2" Type="http://schemas.openxmlformats.org/officeDocument/2006/relationships/image" Target="../media/image16.png"/><Relationship Id="rId1" Type="http://schemas.openxmlformats.org/officeDocument/2006/relationships/image" Target="../media/image15.png"/><Relationship Id="rId4" Type="http://schemas.openxmlformats.org/officeDocument/2006/relationships/image" Target="../media/image1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wmf"/><Relationship Id="rId1" Type="http://schemas.openxmlformats.org/officeDocument/2006/relationships/image" Target="../media/image6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82</xdr:row>
      <xdr:rowOff>9525</xdr:rowOff>
    </xdr:from>
    <xdr:to>
      <xdr:col>8</xdr:col>
      <xdr:colOff>657226</xdr:colOff>
      <xdr:row>92</xdr:row>
      <xdr:rowOff>102122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FC5D8F10-9090-D669-9AB1-55119CE15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15630525"/>
          <a:ext cx="6134100" cy="19975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304799</xdr:colOff>
      <xdr:row>40</xdr:row>
      <xdr:rowOff>126262</xdr:rowOff>
    </xdr:from>
    <xdr:to>
      <xdr:col>7</xdr:col>
      <xdr:colOff>75524</xdr:colOff>
      <xdr:row>49</xdr:row>
      <xdr:rowOff>128622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1123825-3B8E-B01A-25F1-57A813F95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0599" y="6469912"/>
          <a:ext cx="3885525" cy="1716860"/>
        </a:xfrm>
        <a:prstGeom prst="rect">
          <a:avLst/>
        </a:prstGeom>
      </xdr:spPr>
    </xdr:pic>
    <xdr:clientData/>
  </xdr:twoCellAnchor>
  <xdr:twoCellAnchor>
    <xdr:from>
      <xdr:col>7</xdr:col>
      <xdr:colOff>180975</xdr:colOff>
      <xdr:row>81</xdr:row>
      <xdr:rowOff>19050</xdr:rowOff>
    </xdr:from>
    <xdr:to>
      <xdr:col>7</xdr:col>
      <xdr:colOff>400050</xdr:colOff>
      <xdr:row>85</xdr:row>
      <xdr:rowOff>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8BF0262A-543E-48C8-A38C-0DA21677FC7E}"/>
            </a:ext>
          </a:extLst>
        </xdr:cNvPr>
        <xdr:cNvCxnSpPr/>
      </xdr:nvCxnSpPr>
      <xdr:spPr bwMode="auto">
        <a:xfrm flipH="1">
          <a:off x="4981575" y="20078700"/>
          <a:ext cx="219075" cy="66675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529828</xdr:colOff>
      <xdr:row>81</xdr:row>
      <xdr:rowOff>23813</xdr:rowOff>
    </xdr:from>
    <xdr:to>
      <xdr:col>8</xdr:col>
      <xdr:colOff>228600</xdr:colOff>
      <xdr:row>85</xdr:row>
      <xdr:rowOff>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D03FE48A-1996-4B1A-AABE-6E6674F96E17}"/>
            </a:ext>
          </a:extLst>
        </xdr:cNvPr>
        <xdr:cNvCxnSpPr/>
      </xdr:nvCxnSpPr>
      <xdr:spPr bwMode="auto">
        <a:xfrm>
          <a:off x="5322094" y="20222766"/>
          <a:ext cx="383381" cy="66675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0</xdr:col>
      <xdr:colOff>342900</xdr:colOff>
      <xdr:row>16</xdr:row>
      <xdr:rowOff>76200</xdr:rowOff>
    </xdr:from>
    <xdr:to>
      <xdr:col>8</xdr:col>
      <xdr:colOff>40500</xdr:colOff>
      <xdr:row>33</xdr:row>
      <xdr:rowOff>159946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3E28659-B0B6-F5B7-3203-FD2DE63103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2900" y="2819400"/>
          <a:ext cx="5184000" cy="3322246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54</xdr:row>
      <xdr:rowOff>123825</xdr:rowOff>
    </xdr:from>
    <xdr:to>
      <xdr:col>8</xdr:col>
      <xdr:colOff>152400</xdr:colOff>
      <xdr:row>69</xdr:row>
      <xdr:rowOff>57150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6C1F3CAA-A54C-429D-F5A8-96A94A03F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0753725"/>
          <a:ext cx="5305425" cy="2790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200025</xdr:colOff>
      <xdr:row>102</xdr:row>
      <xdr:rowOff>95250</xdr:rowOff>
    </xdr:from>
    <xdr:to>
      <xdr:col>8</xdr:col>
      <xdr:colOff>447675</xdr:colOff>
      <xdr:row>127</xdr:row>
      <xdr:rowOff>95250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A0FA17F-9AFF-2306-4E03-BAB6AE00B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8783300"/>
          <a:ext cx="5734050" cy="476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11</xdr:row>
      <xdr:rowOff>0</xdr:rowOff>
    </xdr:from>
    <xdr:ext cx="2148280" cy="1856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5C71F54C-B2EC-40BF-A663-3725383CFCE2}"/>
                </a:ext>
              </a:extLst>
            </xdr:cNvPr>
            <xdr:cNvSpPr txBox="1"/>
          </xdr:nvSpPr>
          <xdr:spPr>
            <a:xfrm>
              <a:off x="552450" y="2095500"/>
              <a:ext cx="2148280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𝑀</m:t>
                        </m:r>
                      </m:e>
                      <m:sub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𝑓</m:t>
                        </m:r>
                      </m:sub>
                    </m:sSub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𝑀</m:t>
                        </m:r>
                      </m:e>
                      <m:sub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𝑝𝑟</m:t>
                        </m:r>
                      </m:sub>
                    </m:sSub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  <m:sub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𝑝</m:t>
                        </m:r>
                      </m:sub>
                    </m:sSub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𝑝𝑟</m:t>
                        </m:r>
                      </m:sub>
                    </m:sSub>
                    <m:sSub>
                      <m:sSubPr>
                        <m:ctrlP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</m:t>
                        </m:r>
                      </m:e>
                      <m:sub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  <m:sSub>
                      <m:sSubPr>
                        <m:ctrlP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𝑍</m:t>
                        </m:r>
                      </m:e>
                      <m:sub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𝑝</m:t>
                        </m:r>
                      </m:sub>
                    </m:sSub>
                    <m:sSub>
                      <m:sSubPr>
                        <m:ctrlP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𝐹</m:t>
                        </m:r>
                      </m:e>
                      <m:sub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e>
                      <m:sub>
                        <m:r>
                          <a:rPr kumimoji="1" lang="en-US" altLang="ja-JP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𝑝</m:t>
                        </m:r>
                      </m:sub>
                    </m:sSub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5C71F54C-B2EC-40BF-A663-3725383CFCE2}"/>
                </a:ext>
              </a:extLst>
            </xdr:cNvPr>
            <xdr:cNvSpPr txBox="1"/>
          </xdr:nvSpPr>
          <xdr:spPr>
            <a:xfrm>
              <a:off x="552450" y="2095500"/>
              <a:ext cx="2148280" cy="18562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𝑀_𝑓=𝑀_𝑝𝑟+𝑉_𝑝 𝑥=𝐶_𝑝𝑟 𝑅_𝑦 𝑍_𝑝 𝐹_𝑦+𝑉_𝑝 𝑥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12</xdr:row>
      <xdr:rowOff>0</xdr:rowOff>
    </xdr:from>
    <xdr:ext cx="1205522" cy="1995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AE4F35AD-3ABD-445A-89AF-5DAF3149E511}"/>
                </a:ext>
              </a:extLst>
            </xdr:cNvPr>
            <xdr:cNvSpPr txBox="1"/>
          </xdr:nvSpPr>
          <xdr:spPr>
            <a:xfrm>
              <a:off x="552450" y="2286000"/>
              <a:ext cx="1205522" cy="1995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𝑝𝑟</m:t>
                        </m:r>
                      </m:sub>
                    </m:sSub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𝑝𝑟</m:t>
                        </m:r>
                      </m:sub>
                    </m:sSub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AE4F35AD-3ABD-445A-89AF-5DAF3149E511}"/>
                </a:ext>
              </a:extLst>
            </xdr:cNvPr>
            <xdr:cNvSpPr txBox="1"/>
          </xdr:nvSpPr>
          <xdr:spPr>
            <a:xfrm>
              <a:off x="552450" y="2286000"/>
              <a:ext cx="1205522" cy="1995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𝑀_𝑝𝑟=𝐶_𝑝𝑟 𝑅_𝑦 𝑍_𝑝 𝐹_𝑦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13</xdr:row>
      <xdr:rowOff>0</xdr:rowOff>
    </xdr:from>
    <xdr:ext cx="224292" cy="1997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73E1559B-1947-4A4F-AF3B-83CCB1E29824}"/>
                </a:ext>
              </a:extLst>
            </xdr:cNvPr>
            <xdr:cNvSpPr txBox="1"/>
          </xdr:nvSpPr>
          <xdr:spPr>
            <a:xfrm>
              <a:off x="552450" y="2476500"/>
              <a:ext cx="224292" cy="1997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73E1559B-1947-4A4F-AF3B-83CCB1E29824}"/>
                </a:ext>
              </a:extLst>
            </xdr:cNvPr>
            <xdr:cNvSpPr txBox="1"/>
          </xdr:nvSpPr>
          <xdr:spPr>
            <a:xfrm>
              <a:off x="552450" y="2476500"/>
              <a:ext cx="224292" cy="1997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𝑀_𝑓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14</xdr:row>
      <xdr:rowOff>0</xdr:rowOff>
    </xdr:from>
    <xdr:ext cx="296941" cy="1992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テキスト ボックス 4">
              <a:extLst>
                <a:ext uri="{FF2B5EF4-FFF2-40B4-BE49-F238E27FC236}">
                  <a16:creationId xmlns:a16="http://schemas.microsoft.com/office/drawing/2014/main" id="{6DEC3819-9A10-456B-BB74-97748DB08EF5}"/>
                </a:ext>
              </a:extLst>
            </xdr:cNvPr>
            <xdr:cNvSpPr txBox="1"/>
          </xdr:nvSpPr>
          <xdr:spPr>
            <a:xfrm>
              <a:off x="552450" y="2667000"/>
              <a:ext cx="296941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𝑝𝑟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5" name="テキスト ボックス 4">
              <a:extLst>
                <a:ext uri="{FF2B5EF4-FFF2-40B4-BE49-F238E27FC236}">
                  <a16:creationId xmlns:a16="http://schemas.microsoft.com/office/drawing/2014/main" id="{6DEC3819-9A10-456B-BB74-97748DB08EF5}"/>
                </a:ext>
              </a:extLst>
            </xdr:cNvPr>
            <xdr:cNvSpPr txBox="1"/>
          </xdr:nvSpPr>
          <xdr:spPr>
            <a:xfrm>
              <a:off x="552450" y="2667000"/>
              <a:ext cx="296941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𝑀_𝑝𝑟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15</xdr:row>
      <xdr:rowOff>0</xdr:rowOff>
    </xdr:from>
    <xdr:ext cx="257763" cy="1992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テキスト ボックス 5">
              <a:extLst>
                <a:ext uri="{FF2B5EF4-FFF2-40B4-BE49-F238E27FC236}">
                  <a16:creationId xmlns:a16="http://schemas.microsoft.com/office/drawing/2014/main" id="{0EF6C243-6277-4E50-8CD2-EE04457721F5}"/>
                </a:ext>
              </a:extLst>
            </xdr:cNvPr>
            <xdr:cNvSpPr txBox="1"/>
          </xdr:nvSpPr>
          <xdr:spPr>
            <a:xfrm>
              <a:off x="552450" y="2857500"/>
              <a:ext cx="257763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𝑝𝑟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6" name="テキスト ボックス 5">
              <a:extLst>
                <a:ext uri="{FF2B5EF4-FFF2-40B4-BE49-F238E27FC236}">
                  <a16:creationId xmlns:a16="http://schemas.microsoft.com/office/drawing/2014/main" id="{0EF6C243-6277-4E50-8CD2-EE04457721F5}"/>
                </a:ext>
              </a:extLst>
            </xdr:cNvPr>
            <xdr:cNvSpPr txBox="1"/>
          </xdr:nvSpPr>
          <xdr:spPr>
            <a:xfrm>
              <a:off x="552450" y="2857500"/>
              <a:ext cx="257763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𝐶_𝑝𝑟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18</xdr:row>
      <xdr:rowOff>0</xdr:rowOff>
    </xdr:from>
    <xdr:ext cx="199927" cy="1992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BDAB9943-FBB5-48BD-887A-3B396209E380}"/>
                </a:ext>
              </a:extLst>
            </xdr:cNvPr>
            <xdr:cNvSpPr txBox="1"/>
          </xdr:nvSpPr>
          <xdr:spPr>
            <a:xfrm>
              <a:off x="552450" y="3429000"/>
              <a:ext cx="199927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BDAB9943-FBB5-48BD-887A-3B396209E380}"/>
                </a:ext>
              </a:extLst>
            </xdr:cNvPr>
            <xdr:cNvSpPr txBox="1"/>
          </xdr:nvSpPr>
          <xdr:spPr>
            <a:xfrm>
              <a:off x="552450" y="3429000"/>
              <a:ext cx="199927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𝑍_𝑝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17</xdr:row>
      <xdr:rowOff>0</xdr:rowOff>
    </xdr:from>
    <xdr:ext cx="210570" cy="1995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482D06A0-6666-44DE-9F30-878B3A9C5904}"/>
                </a:ext>
              </a:extLst>
            </xdr:cNvPr>
            <xdr:cNvSpPr txBox="1"/>
          </xdr:nvSpPr>
          <xdr:spPr>
            <a:xfrm>
              <a:off x="552450" y="3238500"/>
              <a:ext cx="210570" cy="1995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482D06A0-6666-44DE-9F30-878B3A9C5904}"/>
                </a:ext>
              </a:extLst>
            </xdr:cNvPr>
            <xdr:cNvSpPr txBox="1"/>
          </xdr:nvSpPr>
          <xdr:spPr>
            <a:xfrm>
              <a:off x="552450" y="3238500"/>
              <a:ext cx="210570" cy="1995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𝑅_𝑦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20</xdr:row>
      <xdr:rowOff>0</xdr:rowOff>
    </xdr:from>
    <xdr:ext cx="179087" cy="1995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CC564333-4D0A-4F8D-AD8A-3066365C36C1}"/>
                </a:ext>
              </a:extLst>
            </xdr:cNvPr>
            <xdr:cNvSpPr txBox="1"/>
          </xdr:nvSpPr>
          <xdr:spPr>
            <a:xfrm>
              <a:off x="552450" y="3619500"/>
              <a:ext cx="179087" cy="1995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CC564333-4D0A-4F8D-AD8A-3066365C36C1}"/>
                </a:ext>
              </a:extLst>
            </xdr:cNvPr>
            <xdr:cNvSpPr txBox="1"/>
          </xdr:nvSpPr>
          <xdr:spPr>
            <a:xfrm>
              <a:off x="552450" y="3619500"/>
              <a:ext cx="179087" cy="1995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𝐹_𝑦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21</xdr:row>
      <xdr:rowOff>0</xdr:rowOff>
    </xdr:from>
    <xdr:ext cx="173509" cy="1992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テキスト ボックス 9">
              <a:extLst>
                <a:ext uri="{FF2B5EF4-FFF2-40B4-BE49-F238E27FC236}">
                  <a16:creationId xmlns:a16="http://schemas.microsoft.com/office/drawing/2014/main" id="{ACE2D697-9C0E-4188-80CF-8D5CC84856BB}"/>
                </a:ext>
              </a:extLst>
            </xdr:cNvPr>
            <xdr:cNvSpPr txBox="1"/>
          </xdr:nvSpPr>
          <xdr:spPr>
            <a:xfrm>
              <a:off x="552450" y="3810000"/>
              <a:ext cx="173509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𝑉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0" name="テキスト ボックス 9">
              <a:extLst>
                <a:ext uri="{FF2B5EF4-FFF2-40B4-BE49-F238E27FC236}">
                  <a16:creationId xmlns:a16="http://schemas.microsoft.com/office/drawing/2014/main" id="{ACE2D697-9C0E-4188-80CF-8D5CC84856BB}"/>
                </a:ext>
              </a:extLst>
            </xdr:cNvPr>
            <xdr:cNvSpPr txBox="1"/>
          </xdr:nvSpPr>
          <xdr:spPr>
            <a:xfrm>
              <a:off x="552450" y="3810000"/>
              <a:ext cx="173509" cy="1992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𝑉_𝑝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22</xdr:row>
      <xdr:rowOff>66675</xdr:rowOff>
    </xdr:from>
    <xdr:ext cx="2293255" cy="3741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テキスト ボックス 12">
              <a:extLst>
                <a:ext uri="{FF2B5EF4-FFF2-40B4-BE49-F238E27FC236}">
                  <a16:creationId xmlns:a16="http://schemas.microsoft.com/office/drawing/2014/main" id="{EED79988-63D8-43FD-A367-7F3FE7C1B18B}"/>
                </a:ext>
              </a:extLst>
            </xdr:cNvPr>
            <xdr:cNvSpPr txBox="1"/>
          </xdr:nvSpPr>
          <xdr:spPr>
            <a:xfrm>
              <a:off x="552450" y="4067175"/>
              <a:ext cx="2293255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𝑉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𝑀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𝑝𝑟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𝑀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𝑝𝑟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𝑃𝐿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′</m:t>
                        </m:r>
                        <m:r>
                          <m:rPr>
                            <m:nor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/2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+</m:t>
                        </m:r>
                        <m:sSup>
                          <m:sSup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𝑤𝐿</m:t>
                            </m:r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′</m:t>
                            </m:r>
                          </m:e>
                          <m:sup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kumimoji="1" lang="en-US" altLang="ja-JP" sz="1200" b="0" i="0">
                            <a:latin typeface="Cambria Math" panose="02040503050406030204" pitchFamily="18" charset="0"/>
                          </a:rPr>
                          <m:t>/2</m:t>
                        </m:r>
                      </m:num>
                      <m:den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′</m:t>
                        </m:r>
                      </m:den>
                    </m:f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3" name="テキスト ボックス 12">
              <a:extLst>
                <a:ext uri="{FF2B5EF4-FFF2-40B4-BE49-F238E27FC236}">
                  <a16:creationId xmlns:a16="http://schemas.microsoft.com/office/drawing/2014/main" id="{EED79988-63D8-43FD-A367-7F3FE7C1B18B}"/>
                </a:ext>
              </a:extLst>
            </xdr:cNvPr>
            <xdr:cNvSpPr txBox="1"/>
          </xdr:nvSpPr>
          <xdr:spPr>
            <a:xfrm>
              <a:off x="552450" y="4067175"/>
              <a:ext cx="2293255" cy="3741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𝑉_𝑝=(𝑀_𝑝𝑟+𝑀_𝑝𝑟+𝑃𝐿′"/2" +〖𝑤𝐿′〗^2 "/2" )/𝐿′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25</xdr:row>
      <xdr:rowOff>0</xdr:rowOff>
    </xdr:from>
    <xdr:ext cx="121379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6B22F8A3-0B21-4141-A93E-BD56D26DB68B}"/>
                </a:ext>
              </a:extLst>
            </xdr:cNvPr>
            <xdr:cNvSpPr txBox="1"/>
          </xdr:nvSpPr>
          <xdr:spPr>
            <a:xfrm>
              <a:off x="552450" y="4572000"/>
              <a:ext cx="12137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200" i="1">
                        <a:latin typeface="Cambria Math" panose="02040503050406030204" pitchFamily="18" charset="0"/>
                      </a:rPr>
                      <m:t>𝑥</m:t>
                    </m:r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6B22F8A3-0B21-4141-A93E-BD56D26DB68B}"/>
                </a:ext>
              </a:extLst>
            </xdr:cNvPr>
            <xdr:cNvSpPr txBox="1"/>
          </xdr:nvSpPr>
          <xdr:spPr>
            <a:xfrm>
              <a:off x="552450" y="4572000"/>
              <a:ext cx="12137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i="0">
                  <a:latin typeface="Cambria Math" panose="02040503050406030204" pitchFamily="18" charset="0"/>
                </a:rPr>
                <a:t>𝑥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26</xdr:row>
      <xdr:rowOff>0</xdr:rowOff>
    </xdr:from>
    <xdr:ext cx="122469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テキスト ボックス 14">
              <a:extLst>
                <a:ext uri="{FF2B5EF4-FFF2-40B4-BE49-F238E27FC236}">
                  <a16:creationId xmlns:a16="http://schemas.microsoft.com/office/drawing/2014/main" id="{12354055-C979-4123-ADB4-8472D41A3DF6}"/>
                </a:ext>
              </a:extLst>
            </xdr:cNvPr>
            <xdr:cNvSpPr txBox="1"/>
          </xdr:nvSpPr>
          <xdr:spPr>
            <a:xfrm>
              <a:off x="552450" y="4762500"/>
              <a:ext cx="12246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𝑝</m:t>
                    </m:r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5" name="テキスト ボックス 14">
              <a:extLst>
                <a:ext uri="{FF2B5EF4-FFF2-40B4-BE49-F238E27FC236}">
                  <a16:creationId xmlns:a16="http://schemas.microsoft.com/office/drawing/2014/main" id="{12354055-C979-4123-ADB4-8472D41A3DF6}"/>
                </a:ext>
              </a:extLst>
            </xdr:cNvPr>
            <xdr:cNvSpPr txBox="1"/>
          </xdr:nvSpPr>
          <xdr:spPr>
            <a:xfrm>
              <a:off x="552450" y="4762500"/>
              <a:ext cx="12246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𝑝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27</xdr:row>
      <xdr:rowOff>0</xdr:rowOff>
    </xdr:from>
    <xdr:ext cx="152991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テキスト ボックス 15">
              <a:extLst>
                <a:ext uri="{FF2B5EF4-FFF2-40B4-BE49-F238E27FC236}">
                  <a16:creationId xmlns:a16="http://schemas.microsoft.com/office/drawing/2014/main" id="{860CC163-89D7-478C-97CB-0D56EB35724E}"/>
                </a:ext>
              </a:extLst>
            </xdr:cNvPr>
            <xdr:cNvSpPr txBox="1"/>
          </xdr:nvSpPr>
          <xdr:spPr>
            <a:xfrm>
              <a:off x="552450" y="4953000"/>
              <a:ext cx="152991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𝑤</m:t>
                    </m:r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6" name="テキスト ボックス 15">
              <a:extLst>
                <a:ext uri="{FF2B5EF4-FFF2-40B4-BE49-F238E27FC236}">
                  <a16:creationId xmlns:a16="http://schemas.microsoft.com/office/drawing/2014/main" id="{860CC163-89D7-478C-97CB-0D56EB35724E}"/>
                </a:ext>
              </a:extLst>
            </xdr:cNvPr>
            <xdr:cNvSpPr txBox="1"/>
          </xdr:nvSpPr>
          <xdr:spPr>
            <a:xfrm>
              <a:off x="552450" y="4953000"/>
              <a:ext cx="152991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𝑤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74</xdr:row>
      <xdr:rowOff>0</xdr:rowOff>
    </xdr:from>
    <xdr:ext cx="198131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テキスト ボックス 16">
              <a:extLst>
                <a:ext uri="{FF2B5EF4-FFF2-40B4-BE49-F238E27FC236}">
                  <a16:creationId xmlns:a16="http://schemas.microsoft.com/office/drawing/2014/main" id="{DB242DD8-D52B-48D6-92F8-3B16C204C107}"/>
                </a:ext>
              </a:extLst>
            </xdr:cNvPr>
            <xdr:cNvSpPr txBox="1"/>
          </xdr:nvSpPr>
          <xdr:spPr>
            <a:xfrm>
              <a:off x="552450" y="11201400"/>
              <a:ext cx="198131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7" name="テキスト ボックス 16">
              <a:extLst>
                <a:ext uri="{FF2B5EF4-FFF2-40B4-BE49-F238E27FC236}">
                  <a16:creationId xmlns:a16="http://schemas.microsoft.com/office/drawing/2014/main" id="{DB242DD8-D52B-48D6-92F8-3B16C204C107}"/>
                </a:ext>
              </a:extLst>
            </xdr:cNvPr>
            <xdr:cNvSpPr txBox="1"/>
          </xdr:nvSpPr>
          <xdr:spPr>
            <a:xfrm>
              <a:off x="552450" y="11201400"/>
              <a:ext cx="198131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𝑍_𝑏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6</xdr:col>
      <xdr:colOff>416615</xdr:colOff>
      <xdr:row>74</xdr:row>
      <xdr:rowOff>0</xdr:rowOff>
    </xdr:from>
    <xdr:ext cx="1568506" cy="2126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テキスト ボックス 17">
              <a:extLst>
                <a:ext uri="{FF2B5EF4-FFF2-40B4-BE49-F238E27FC236}">
                  <a16:creationId xmlns:a16="http://schemas.microsoft.com/office/drawing/2014/main" id="{6CFFE835-C9B5-42EA-9F19-0227CB243CC6}"/>
                </a:ext>
              </a:extLst>
            </xdr:cNvPr>
            <xdr:cNvSpPr txBox="1"/>
          </xdr:nvSpPr>
          <xdr:spPr>
            <a:xfrm>
              <a:off x="3298963" y="14643652"/>
              <a:ext cx="1568506" cy="212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kumimoji="1" lang="en-US" altLang="ja-JP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𝑓𝑒</m:t>
                        </m:r>
                      </m:sub>
                    </m:sSub>
                    <m:r>
                      <a:rPr kumimoji="1" lang="en-US" altLang="ja-JP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d>
                      <m:d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</m:t>
                            </m:r>
                          </m:sub>
                        </m:sSub>
                      </m:e>
                    </m:d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8" name="テキスト ボックス 17">
              <a:extLst>
                <a:ext uri="{FF2B5EF4-FFF2-40B4-BE49-F238E27FC236}">
                  <a16:creationId xmlns:a16="http://schemas.microsoft.com/office/drawing/2014/main" id="{6CFFE835-C9B5-42EA-9F19-0227CB243CC6}"/>
                </a:ext>
              </a:extLst>
            </xdr:cNvPr>
            <xdr:cNvSpPr txBox="1"/>
          </xdr:nvSpPr>
          <xdr:spPr>
            <a:xfrm>
              <a:off x="3298963" y="14643652"/>
              <a:ext cx="1568506" cy="212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𝑍_𝑏=𝑡_𝑓</a:t>
              </a:r>
              <a:r>
                <a:rPr kumimoji="1" lang="en-US" altLang="ja-JP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∙𝑏_𝑓𝑒∙(𝑑_𝑏−𝑡_𝑓 )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73</xdr:row>
      <xdr:rowOff>0</xdr:rowOff>
    </xdr:from>
    <xdr:ext cx="908454" cy="1997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テキスト ボックス 18">
              <a:extLst>
                <a:ext uri="{FF2B5EF4-FFF2-40B4-BE49-F238E27FC236}">
                  <a16:creationId xmlns:a16="http://schemas.microsoft.com/office/drawing/2014/main" id="{D61E252E-037D-4C95-B9E4-084DEE5ECB18}"/>
                </a:ext>
              </a:extLst>
            </xdr:cNvPr>
            <xdr:cNvSpPr txBox="1"/>
          </xdr:nvSpPr>
          <xdr:spPr>
            <a:xfrm>
              <a:off x="552450" y="11010900"/>
              <a:ext cx="908454" cy="1997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&lt;</m:t>
                    </m:r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9" name="テキスト ボックス 18">
              <a:extLst>
                <a:ext uri="{FF2B5EF4-FFF2-40B4-BE49-F238E27FC236}">
                  <a16:creationId xmlns:a16="http://schemas.microsoft.com/office/drawing/2014/main" id="{D61E252E-037D-4C95-B9E4-084DEE5ECB18}"/>
                </a:ext>
              </a:extLst>
            </xdr:cNvPr>
            <xdr:cNvSpPr txBox="1"/>
          </xdr:nvSpPr>
          <xdr:spPr>
            <a:xfrm>
              <a:off x="552450" y="11010900"/>
              <a:ext cx="908454" cy="1997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𝑀_𝑓&lt;𝑅_𝑦 𝑍_𝑏 𝐹_𝑦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79</xdr:row>
      <xdr:rowOff>0</xdr:rowOff>
    </xdr:from>
    <xdr:ext cx="1267078" cy="3822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テキスト ボックス 19">
              <a:extLst>
                <a:ext uri="{FF2B5EF4-FFF2-40B4-BE49-F238E27FC236}">
                  <a16:creationId xmlns:a16="http://schemas.microsoft.com/office/drawing/2014/main" id="{4E77FDD1-D1E8-436D-9CA2-74261B9ECF40}"/>
                </a:ext>
              </a:extLst>
            </xdr:cNvPr>
            <xdr:cNvSpPr txBox="1"/>
          </xdr:nvSpPr>
          <xdr:spPr>
            <a:xfrm>
              <a:off x="552450" y="11963400"/>
              <a:ext cx="1267078" cy="3822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𝑉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𝑓</m:t>
                        </m:r>
                      </m:sub>
                    </m:sSub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=2</m:t>
                    </m:r>
                    <m:f>
                      <m:f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𝑀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𝑓</m:t>
                            </m:r>
                          </m:sub>
                        </m:sSub>
                      </m:num>
                      <m:den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</m:den>
                    </m:f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𝐿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20" name="テキスト ボックス 19">
              <a:extLst>
                <a:ext uri="{FF2B5EF4-FFF2-40B4-BE49-F238E27FC236}">
                  <a16:creationId xmlns:a16="http://schemas.microsoft.com/office/drawing/2014/main" id="{4E77FDD1-D1E8-436D-9CA2-74261B9ECF40}"/>
                </a:ext>
              </a:extLst>
            </xdr:cNvPr>
            <xdr:cNvSpPr txBox="1"/>
          </xdr:nvSpPr>
          <xdr:spPr>
            <a:xfrm>
              <a:off x="552450" y="11963400"/>
              <a:ext cx="1267078" cy="3822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𝑉_𝑓=2 𝑀_𝑓/(𝐿−𝑑_𝑐 )+𝑄_𝐿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81</xdr:row>
      <xdr:rowOff>0</xdr:rowOff>
    </xdr:from>
    <xdr:ext cx="1805623" cy="3111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テキスト ボックス 20">
              <a:extLst>
                <a:ext uri="{FF2B5EF4-FFF2-40B4-BE49-F238E27FC236}">
                  <a16:creationId xmlns:a16="http://schemas.microsoft.com/office/drawing/2014/main" id="{69467156-F237-44B1-98A1-7B85E346E3E9}"/>
                </a:ext>
              </a:extLst>
            </xdr:cNvPr>
            <xdr:cNvSpPr txBox="1"/>
          </xdr:nvSpPr>
          <xdr:spPr>
            <a:xfrm>
              <a:off x="552450" y="12344400"/>
              <a:ext cx="1805623" cy="311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ja-JP" altLang="en-US" sz="1200" i="1">
                        <a:latin typeface="Cambria Math" panose="02040503050406030204" pitchFamily="18" charset="0"/>
                      </a:rPr>
                      <m:t>𝜏</m:t>
                    </m:r>
                    <m:r>
                      <a:rPr kumimoji="1" lang="en-US" altLang="ja-JP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type m:val="skw"/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𝑓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sub>
                        </m:sSub>
                      </m:den>
                    </m:f>
                    <m:d>
                      <m:dPr>
                        <m:ctrlP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𝑏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𝑡</m:t>
                            </m:r>
                          </m:e>
                          <m:sub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𝑓</m:t>
                            </m:r>
                          </m:sub>
                        </m:s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kumimoji="1" lang="en-US" altLang="ja-JP" sz="12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e>
                          <m:sub>
                            <m:r>
                              <a:rPr kumimoji="1" lang="ja-JP" altLang="en-US" sz="1200" b="0" i="1">
                                <a:latin typeface="Cambria Math" panose="02040503050406030204" pitchFamily="18" charset="0"/>
                              </a:rPr>
                              <m:t>𝜏</m:t>
                            </m:r>
                          </m:sub>
                        </m:sSub>
                      </m:e>
                    </m:d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21" name="テキスト ボックス 20">
              <a:extLst>
                <a:ext uri="{FF2B5EF4-FFF2-40B4-BE49-F238E27FC236}">
                  <a16:creationId xmlns:a16="http://schemas.microsoft.com/office/drawing/2014/main" id="{69467156-F237-44B1-98A1-7B85E346E3E9}"/>
                </a:ext>
              </a:extLst>
            </xdr:cNvPr>
            <xdr:cNvSpPr txBox="1"/>
          </xdr:nvSpPr>
          <xdr:spPr>
            <a:xfrm>
              <a:off x="552450" y="12344400"/>
              <a:ext cx="1805623" cy="3111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ja-JP" altLang="en-US" sz="1200" i="0">
                  <a:latin typeface="Cambria Math" panose="02040503050406030204" pitchFamily="18" charset="0"/>
                </a:rPr>
                <a:t>𝜏</a:t>
              </a:r>
              <a:r>
                <a:rPr kumimoji="1" lang="en-US" altLang="ja-JP" sz="1200" b="0" i="0">
                  <a:latin typeface="Cambria Math" panose="02040503050406030204" pitchFamily="18" charset="0"/>
                </a:rPr>
                <a:t>=𝑉_𝑓⁄𝑡_𝑤  (𝑑_𝑏−〖2𝑡〗_𝑓−〖2𝑆〗_</a:t>
              </a:r>
              <a:r>
                <a:rPr kumimoji="1" lang="ja-JP" altLang="en-US" sz="1200" b="0" i="0">
                  <a:latin typeface="Cambria Math" panose="02040503050406030204" pitchFamily="18" charset="0"/>
                </a:rPr>
                <a:t>𝜏 )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3</xdr:col>
      <xdr:colOff>0</xdr:colOff>
      <xdr:row>83</xdr:row>
      <xdr:rowOff>0</xdr:rowOff>
    </xdr:from>
    <xdr:ext cx="56483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テキスト ボックス 21">
              <a:extLst>
                <a:ext uri="{FF2B5EF4-FFF2-40B4-BE49-F238E27FC236}">
                  <a16:creationId xmlns:a16="http://schemas.microsoft.com/office/drawing/2014/main" id="{99AF2850-4990-4A99-A10E-C142530A5D0A}"/>
                </a:ext>
              </a:extLst>
            </xdr:cNvPr>
            <xdr:cNvSpPr txBox="1"/>
          </xdr:nvSpPr>
          <xdr:spPr>
            <a:xfrm>
              <a:off x="828675" y="12725400"/>
              <a:ext cx="56483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kumimoji="1" lang="ja-JP" altLang="en-US" sz="1100" i="1">
                      <a:latin typeface="Cambria Math" panose="02040503050406030204" pitchFamily="18" charset="0"/>
                    </a:rPr>
                    <m:t>𝜏</m:t>
                  </m:r>
                  <m:r>
                    <m:rPr>
                      <m:nor/>
                    </m:rPr>
                    <a:rPr kumimoji="1" lang="en-US" altLang="ja-JP" sz="1100" b="0" i="0">
                      <a:latin typeface="Cambria Math" panose="02040503050406030204" pitchFamily="18" charset="0"/>
                    </a:rPr>
                    <m:t>/</m:t>
                  </m:r>
                  <m:sSub>
                    <m:sSubPr>
                      <m:ctrlPr>
                        <a:rPr kumimoji="1" lang="en-US" altLang="ja-JP" sz="1100" b="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kumimoji="1" lang="en-US" altLang="ja-JP" sz="1100" b="0" i="1">
                          <a:latin typeface="Cambria Math" panose="02040503050406030204" pitchFamily="18" charset="0"/>
                        </a:rPr>
                        <m:t>𝑓</m:t>
                      </m:r>
                    </m:e>
                    <m:sub>
                      <m:r>
                        <a:rPr kumimoji="1" lang="en-US" altLang="ja-JP" sz="1100" b="0" i="1">
                          <a:latin typeface="Cambria Math" panose="02040503050406030204" pitchFamily="18" charset="0"/>
                        </a:rPr>
                        <m:t>𝑠</m:t>
                      </m:r>
                    </m:sub>
                  </m:sSub>
                  <m:r>
                    <a:rPr kumimoji="1" lang="ja-JP" altLang="en-US" sz="1100" b="0" i="1">
                      <a:latin typeface="Cambria Math" panose="02040503050406030204" pitchFamily="18" charset="0"/>
                    </a:rPr>
                    <m:t>≦</m:t>
                  </m:r>
                </m:oMath>
              </a14:m>
              <a:r>
                <a:rPr kumimoji="1" lang="en-US" altLang="ja-JP" sz="1100"/>
                <a:t>1.0</a:t>
              </a:r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2" name="テキスト ボックス 21">
              <a:extLst>
                <a:ext uri="{FF2B5EF4-FFF2-40B4-BE49-F238E27FC236}">
                  <a16:creationId xmlns:a16="http://schemas.microsoft.com/office/drawing/2014/main" id="{99AF2850-4990-4A99-A10E-C142530A5D0A}"/>
                </a:ext>
              </a:extLst>
            </xdr:cNvPr>
            <xdr:cNvSpPr txBox="1"/>
          </xdr:nvSpPr>
          <xdr:spPr>
            <a:xfrm>
              <a:off x="828675" y="12725400"/>
              <a:ext cx="56483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kumimoji="1" lang="ja-JP" altLang="en-US" sz="1100" i="0">
                  <a:latin typeface="Cambria Math" panose="02040503050406030204" pitchFamily="18" charset="0"/>
                </a:rPr>
                <a:t>𝜏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"/" 𝑓_𝑠</a:t>
              </a:r>
              <a:r>
                <a:rPr kumimoji="1" lang="ja-JP" altLang="en-US" sz="1100" b="0" i="0">
                  <a:latin typeface="Cambria Math" panose="02040503050406030204" pitchFamily="18" charset="0"/>
                </a:rPr>
                <a:t>≦</a:t>
              </a:r>
              <a:r>
                <a:rPr kumimoji="1" lang="en-US" altLang="ja-JP" sz="1100"/>
                <a:t>1.0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86</xdr:row>
      <xdr:rowOff>0</xdr:rowOff>
    </xdr:from>
    <xdr:ext cx="161839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テキスト ボックス 22">
              <a:extLst>
                <a:ext uri="{FF2B5EF4-FFF2-40B4-BE49-F238E27FC236}">
                  <a16:creationId xmlns:a16="http://schemas.microsoft.com/office/drawing/2014/main" id="{3E1568F9-D87B-4C4D-8B97-DD5165CAD59A}"/>
                </a:ext>
              </a:extLst>
            </xdr:cNvPr>
            <xdr:cNvSpPr txBox="1"/>
          </xdr:nvSpPr>
          <xdr:spPr>
            <a:xfrm>
              <a:off x="552450" y="13296900"/>
              <a:ext cx="16183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23" name="テキスト ボックス 22">
              <a:extLst>
                <a:ext uri="{FF2B5EF4-FFF2-40B4-BE49-F238E27FC236}">
                  <a16:creationId xmlns:a16="http://schemas.microsoft.com/office/drawing/2014/main" id="{3E1568F9-D87B-4C4D-8B97-DD5165CAD59A}"/>
                </a:ext>
              </a:extLst>
            </xdr:cNvPr>
            <xdr:cNvSpPr txBox="1"/>
          </xdr:nvSpPr>
          <xdr:spPr>
            <a:xfrm>
              <a:off x="552450" y="13296900"/>
              <a:ext cx="161839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𝐹_𝑠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87</xdr:row>
      <xdr:rowOff>0</xdr:rowOff>
    </xdr:from>
    <xdr:ext cx="178960" cy="187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テキスト ボックス 23">
              <a:extLst>
                <a:ext uri="{FF2B5EF4-FFF2-40B4-BE49-F238E27FC236}">
                  <a16:creationId xmlns:a16="http://schemas.microsoft.com/office/drawing/2014/main" id="{488C09B8-5E73-4C8D-9A35-75E1F9CEB8F7}"/>
                </a:ext>
              </a:extLst>
            </xdr:cNvPr>
            <xdr:cNvSpPr txBox="1"/>
          </xdr:nvSpPr>
          <xdr:spPr>
            <a:xfrm>
              <a:off x="552450" y="13487400"/>
              <a:ext cx="178960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𝑆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𝑟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24" name="テキスト ボックス 23">
              <a:extLst>
                <a:ext uri="{FF2B5EF4-FFF2-40B4-BE49-F238E27FC236}">
                  <a16:creationId xmlns:a16="http://schemas.microsoft.com/office/drawing/2014/main" id="{488C09B8-5E73-4C8D-9A35-75E1F9CEB8F7}"/>
                </a:ext>
              </a:extLst>
            </xdr:cNvPr>
            <xdr:cNvSpPr txBox="1"/>
          </xdr:nvSpPr>
          <xdr:spPr>
            <a:xfrm>
              <a:off x="552450" y="13487400"/>
              <a:ext cx="178960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𝑆_𝑟</a:t>
              </a:r>
              <a:endParaRPr kumimoji="1" lang="ja-JP" altLang="en-US" sz="1400"/>
            </a:p>
          </xdr:txBody>
        </xdr:sp>
      </mc:Fallback>
    </mc:AlternateContent>
    <xdr:clientData/>
  </xdr:oneCellAnchor>
  <xdr:oneCellAnchor>
    <xdr:from>
      <xdr:col>2</xdr:col>
      <xdr:colOff>0</xdr:colOff>
      <xdr:row>98</xdr:row>
      <xdr:rowOff>0</xdr:rowOff>
    </xdr:from>
    <xdr:ext cx="1154419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テキスト ボックス 24">
              <a:extLst>
                <a:ext uri="{FF2B5EF4-FFF2-40B4-BE49-F238E27FC236}">
                  <a16:creationId xmlns:a16="http://schemas.microsoft.com/office/drawing/2014/main" id="{BA99242A-F532-46FE-BC00-1C8115997F8F}"/>
                </a:ext>
              </a:extLst>
            </xdr:cNvPr>
            <xdr:cNvSpPr txBox="1"/>
          </xdr:nvSpPr>
          <xdr:spPr>
            <a:xfrm>
              <a:off x="552450" y="15201900"/>
              <a:ext cx="1154419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kumimoji="1" lang="en-US" altLang="ja-JP" sz="11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𝑦𝑒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=170+20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5" name="テキスト ボックス 24">
              <a:extLst>
                <a:ext uri="{FF2B5EF4-FFF2-40B4-BE49-F238E27FC236}">
                  <a16:creationId xmlns:a16="http://schemas.microsoft.com/office/drawing/2014/main" id="{BA99242A-F532-46FE-BC00-1C8115997F8F}"/>
                </a:ext>
              </a:extLst>
            </xdr:cNvPr>
            <xdr:cNvSpPr txBox="1"/>
          </xdr:nvSpPr>
          <xdr:spPr>
            <a:xfrm>
              <a:off x="552450" y="15201900"/>
              <a:ext cx="1154419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 panose="02040503050406030204" pitchFamily="18" charset="0"/>
                </a:rPr>
                <a:t>λ_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𝑦𝑒=170+20𝑛_𝑒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99</xdr:row>
      <xdr:rowOff>0</xdr:rowOff>
    </xdr:from>
    <xdr:ext cx="1118704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テキスト ボックス 25">
              <a:extLst>
                <a:ext uri="{FF2B5EF4-FFF2-40B4-BE49-F238E27FC236}">
                  <a16:creationId xmlns:a16="http://schemas.microsoft.com/office/drawing/2014/main" id="{A0FF07EE-4802-4126-AD5C-1E0F055DD50A}"/>
                </a:ext>
              </a:extLst>
            </xdr:cNvPr>
            <xdr:cNvSpPr txBox="1"/>
          </xdr:nvSpPr>
          <xdr:spPr>
            <a:xfrm>
              <a:off x="552450" y="15392400"/>
              <a:ext cx="1118704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kumimoji="1" lang="en-US" altLang="ja-JP" sz="11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𝑦𝑒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=130+20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6" name="テキスト ボックス 25">
              <a:extLst>
                <a:ext uri="{FF2B5EF4-FFF2-40B4-BE49-F238E27FC236}">
                  <a16:creationId xmlns:a16="http://schemas.microsoft.com/office/drawing/2014/main" id="{A0FF07EE-4802-4126-AD5C-1E0F055DD50A}"/>
                </a:ext>
              </a:extLst>
            </xdr:cNvPr>
            <xdr:cNvSpPr txBox="1"/>
          </xdr:nvSpPr>
          <xdr:spPr>
            <a:xfrm>
              <a:off x="552450" y="15392400"/>
              <a:ext cx="1118704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 panose="02040503050406030204" pitchFamily="18" charset="0"/>
                </a:rPr>
                <a:t>λ_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𝑦𝑒=130+20𝑛_𝑒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103</xdr:row>
      <xdr:rowOff>0</xdr:rowOff>
    </xdr:from>
    <xdr:ext cx="115076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テキスト ボックス 26">
              <a:extLst>
                <a:ext uri="{FF2B5EF4-FFF2-40B4-BE49-F238E27FC236}">
                  <a16:creationId xmlns:a16="http://schemas.microsoft.com/office/drawing/2014/main" id="{A15007F4-3FA5-484E-94E7-FF9458ECF8FB}"/>
                </a:ext>
              </a:extLst>
            </xdr:cNvPr>
            <xdr:cNvSpPr txBox="1"/>
          </xdr:nvSpPr>
          <xdr:spPr>
            <a:xfrm>
              <a:off x="552450" y="15963900"/>
              <a:ext cx="1150763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kumimoji="1" lang="en-US" altLang="ja-JP" sz="11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𝑦𝑐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=170+20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7" name="テキスト ボックス 26">
              <a:extLst>
                <a:ext uri="{FF2B5EF4-FFF2-40B4-BE49-F238E27FC236}">
                  <a16:creationId xmlns:a16="http://schemas.microsoft.com/office/drawing/2014/main" id="{A15007F4-3FA5-484E-94E7-FF9458ECF8FB}"/>
                </a:ext>
              </a:extLst>
            </xdr:cNvPr>
            <xdr:cNvSpPr txBox="1"/>
          </xdr:nvSpPr>
          <xdr:spPr>
            <a:xfrm>
              <a:off x="552450" y="15963900"/>
              <a:ext cx="1150763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 panose="02040503050406030204" pitchFamily="18" charset="0"/>
                </a:rPr>
                <a:t>λ_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𝑦𝑐=170+20𝑛_𝑐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104</xdr:row>
      <xdr:rowOff>0</xdr:rowOff>
    </xdr:from>
    <xdr:ext cx="1111394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8" name="テキスト ボックス 27">
              <a:extLst>
                <a:ext uri="{FF2B5EF4-FFF2-40B4-BE49-F238E27FC236}">
                  <a16:creationId xmlns:a16="http://schemas.microsoft.com/office/drawing/2014/main" id="{47280CB5-3546-48EC-AA89-732FB0A2FDF5}"/>
                </a:ext>
              </a:extLst>
            </xdr:cNvPr>
            <xdr:cNvSpPr txBox="1"/>
          </xdr:nvSpPr>
          <xdr:spPr>
            <a:xfrm>
              <a:off x="552450" y="16154400"/>
              <a:ext cx="1111394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kumimoji="1" lang="en-US" altLang="ja-JP" sz="11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𝑦𝑐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=130+20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8" name="テキスト ボックス 27">
              <a:extLst>
                <a:ext uri="{FF2B5EF4-FFF2-40B4-BE49-F238E27FC236}">
                  <a16:creationId xmlns:a16="http://schemas.microsoft.com/office/drawing/2014/main" id="{47280CB5-3546-48EC-AA89-732FB0A2FDF5}"/>
                </a:ext>
              </a:extLst>
            </xdr:cNvPr>
            <xdr:cNvSpPr txBox="1"/>
          </xdr:nvSpPr>
          <xdr:spPr>
            <a:xfrm>
              <a:off x="552450" y="16154400"/>
              <a:ext cx="1111394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 panose="02040503050406030204" pitchFamily="18" charset="0"/>
                </a:rPr>
                <a:t>λ_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𝑦𝑐=130+20𝑛_𝑐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106</xdr:row>
      <xdr:rowOff>0</xdr:rowOff>
    </xdr:from>
    <xdr:ext cx="23064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テキスト ボックス 29">
              <a:extLst>
                <a:ext uri="{FF2B5EF4-FFF2-40B4-BE49-F238E27FC236}">
                  <a16:creationId xmlns:a16="http://schemas.microsoft.com/office/drawing/2014/main" id="{9A80E6DA-562B-44AA-A520-A70D5C500FEF}"/>
                </a:ext>
              </a:extLst>
            </xdr:cNvPr>
            <xdr:cNvSpPr txBox="1"/>
          </xdr:nvSpPr>
          <xdr:spPr>
            <a:xfrm>
              <a:off x="552450" y="16535400"/>
              <a:ext cx="230641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kumimoji="1" lang="en-US" altLang="ja-JP" sz="11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𝑦𝑒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30" name="テキスト ボックス 29">
              <a:extLst>
                <a:ext uri="{FF2B5EF4-FFF2-40B4-BE49-F238E27FC236}">
                  <a16:creationId xmlns:a16="http://schemas.microsoft.com/office/drawing/2014/main" id="{9A80E6DA-562B-44AA-A520-A70D5C500FEF}"/>
                </a:ext>
              </a:extLst>
            </xdr:cNvPr>
            <xdr:cNvSpPr txBox="1"/>
          </xdr:nvSpPr>
          <xdr:spPr>
            <a:xfrm>
              <a:off x="552450" y="16535400"/>
              <a:ext cx="230641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 panose="02040503050406030204" pitchFamily="18" charset="0"/>
                </a:rPr>
                <a:t>λ_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𝑦𝑒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107</xdr:row>
      <xdr:rowOff>0</xdr:rowOff>
    </xdr:from>
    <xdr:ext cx="226985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テキスト ボックス 30">
              <a:extLst>
                <a:ext uri="{FF2B5EF4-FFF2-40B4-BE49-F238E27FC236}">
                  <a16:creationId xmlns:a16="http://schemas.microsoft.com/office/drawing/2014/main" id="{24AB6230-79B7-4D04-AEC6-B6CF96748063}"/>
                </a:ext>
              </a:extLst>
            </xdr:cNvPr>
            <xdr:cNvSpPr txBox="1"/>
          </xdr:nvSpPr>
          <xdr:spPr>
            <a:xfrm>
              <a:off x="552450" y="16725900"/>
              <a:ext cx="226985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kumimoji="1" lang="en-US" altLang="ja-JP" sz="1100" i="1">
                            <a:latin typeface="Cambria Math" panose="02040503050406030204" pitchFamily="18" charset="0"/>
                          </a:rPr>
                          <m:t>λ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𝑦𝑐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31" name="テキスト ボックス 30">
              <a:extLst>
                <a:ext uri="{FF2B5EF4-FFF2-40B4-BE49-F238E27FC236}">
                  <a16:creationId xmlns:a16="http://schemas.microsoft.com/office/drawing/2014/main" id="{24AB6230-79B7-4D04-AEC6-B6CF96748063}"/>
                </a:ext>
              </a:extLst>
            </xdr:cNvPr>
            <xdr:cNvSpPr txBox="1"/>
          </xdr:nvSpPr>
          <xdr:spPr>
            <a:xfrm>
              <a:off x="552450" y="16725900"/>
              <a:ext cx="226985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 panose="02040503050406030204" pitchFamily="18" charset="0"/>
                </a:rPr>
                <a:t>λ_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𝑦𝑐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108</xdr:row>
      <xdr:rowOff>0</xdr:rowOff>
    </xdr:from>
    <xdr:ext cx="2065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テキスト ボックス 31">
              <a:extLst>
                <a:ext uri="{FF2B5EF4-FFF2-40B4-BE49-F238E27FC236}">
                  <a16:creationId xmlns:a16="http://schemas.microsoft.com/office/drawing/2014/main" id="{BD804511-C139-4EF6-8A88-7A3084058A76}"/>
                </a:ext>
              </a:extLst>
            </xdr:cNvPr>
            <xdr:cNvSpPr txBox="1"/>
          </xdr:nvSpPr>
          <xdr:spPr>
            <a:xfrm>
              <a:off x="552450" y="16916400"/>
              <a:ext cx="206531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𝑦𝑒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32" name="テキスト ボックス 31">
              <a:extLst>
                <a:ext uri="{FF2B5EF4-FFF2-40B4-BE49-F238E27FC236}">
                  <a16:creationId xmlns:a16="http://schemas.microsoft.com/office/drawing/2014/main" id="{BD804511-C139-4EF6-8A88-7A3084058A76}"/>
                </a:ext>
              </a:extLst>
            </xdr:cNvPr>
            <xdr:cNvSpPr txBox="1"/>
          </xdr:nvSpPr>
          <xdr:spPr>
            <a:xfrm>
              <a:off x="552450" y="16916400"/>
              <a:ext cx="206531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𝑖_𝑦𝑒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110</xdr:row>
      <xdr:rowOff>0</xdr:rowOff>
    </xdr:from>
    <xdr:ext cx="202876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テキスト ボックス 32">
              <a:extLst>
                <a:ext uri="{FF2B5EF4-FFF2-40B4-BE49-F238E27FC236}">
                  <a16:creationId xmlns:a16="http://schemas.microsoft.com/office/drawing/2014/main" id="{7EC7E578-2B58-46E2-8BF9-03091BAE01FB}"/>
                </a:ext>
              </a:extLst>
            </xdr:cNvPr>
            <xdr:cNvSpPr txBox="1"/>
          </xdr:nvSpPr>
          <xdr:spPr>
            <a:xfrm>
              <a:off x="552450" y="17297400"/>
              <a:ext cx="202876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𝑦𝑐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33" name="テキスト ボックス 32">
              <a:extLst>
                <a:ext uri="{FF2B5EF4-FFF2-40B4-BE49-F238E27FC236}">
                  <a16:creationId xmlns:a16="http://schemas.microsoft.com/office/drawing/2014/main" id="{7EC7E578-2B58-46E2-8BF9-03091BAE01FB}"/>
                </a:ext>
              </a:extLst>
            </xdr:cNvPr>
            <xdr:cNvSpPr txBox="1"/>
          </xdr:nvSpPr>
          <xdr:spPr>
            <a:xfrm>
              <a:off x="552450" y="17297400"/>
              <a:ext cx="202876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𝑖_𝑦𝑐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112</xdr:row>
      <xdr:rowOff>0</xdr:rowOff>
    </xdr:from>
    <xdr:ext cx="359136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4" name="テキスト ボックス 33">
              <a:extLst>
                <a:ext uri="{FF2B5EF4-FFF2-40B4-BE49-F238E27FC236}">
                  <a16:creationId xmlns:a16="http://schemas.microsoft.com/office/drawing/2014/main" id="{53D001D5-F05E-4831-A558-BFCDA4980102}"/>
                </a:ext>
              </a:extLst>
            </xdr:cNvPr>
            <xdr:cNvSpPr txBox="1"/>
          </xdr:nvSpPr>
          <xdr:spPr>
            <a:xfrm>
              <a:off x="552450" y="17678400"/>
              <a:ext cx="359136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𝑦𝑙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,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34" name="テキスト ボックス 33">
              <a:extLst>
                <a:ext uri="{FF2B5EF4-FFF2-40B4-BE49-F238E27FC236}">
                  <a16:creationId xmlns:a16="http://schemas.microsoft.com/office/drawing/2014/main" id="{53D001D5-F05E-4831-A558-BFCDA4980102}"/>
                </a:ext>
              </a:extLst>
            </xdr:cNvPr>
            <xdr:cNvSpPr txBox="1"/>
          </xdr:nvSpPr>
          <xdr:spPr>
            <a:xfrm>
              <a:off x="552450" y="17678400"/>
              <a:ext cx="359136" cy="1829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𝐼_𝑦𝑙,𝐼_𝑦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1</xdr:col>
      <xdr:colOff>256760</xdr:colOff>
      <xdr:row>114</xdr:row>
      <xdr:rowOff>0</xdr:rowOff>
    </xdr:from>
    <xdr:ext cx="30995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5" name="テキスト ボックス 34">
              <a:extLst>
                <a:ext uri="{FF2B5EF4-FFF2-40B4-BE49-F238E27FC236}">
                  <a16:creationId xmlns:a16="http://schemas.microsoft.com/office/drawing/2014/main" id="{063E6893-33B7-46FE-A201-601B61D4C71E}"/>
                </a:ext>
              </a:extLst>
            </xdr:cNvPr>
            <xdr:cNvSpPr txBox="1"/>
          </xdr:nvSpPr>
          <xdr:spPr>
            <a:xfrm>
              <a:off x="530086" y="22263652"/>
              <a:ext cx="30995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,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𝐴</m:t>
                    </m:r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35" name="テキスト ボックス 34">
              <a:extLst>
                <a:ext uri="{FF2B5EF4-FFF2-40B4-BE49-F238E27FC236}">
                  <a16:creationId xmlns:a16="http://schemas.microsoft.com/office/drawing/2014/main" id="{063E6893-33B7-46FE-A201-601B61D4C71E}"/>
                </a:ext>
              </a:extLst>
            </xdr:cNvPr>
            <xdr:cNvSpPr txBox="1"/>
          </xdr:nvSpPr>
          <xdr:spPr>
            <a:xfrm>
              <a:off x="530086" y="22263652"/>
              <a:ext cx="309957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𝐴_𝑙,𝐴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137</xdr:row>
      <xdr:rowOff>0</xdr:rowOff>
    </xdr:from>
    <xdr:ext cx="239874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0" name="テキスト ボックス 39">
              <a:extLst>
                <a:ext uri="{FF2B5EF4-FFF2-40B4-BE49-F238E27FC236}">
                  <a16:creationId xmlns:a16="http://schemas.microsoft.com/office/drawing/2014/main" id="{2FE139EC-ADC7-4539-8609-FB7A85DF88BF}"/>
                </a:ext>
              </a:extLst>
            </xdr:cNvPr>
            <xdr:cNvSpPr txBox="1"/>
          </xdr:nvSpPr>
          <xdr:spPr>
            <a:xfrm>
              <a:off x="552450" y="22288500"/>
              <a:ext cx="239874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40" name="テキスト ボックス 39">
              <a:extLst>
                <a:ext uri="{FF2B5EF4-FFF2-40B4-BE49-F238E27FC236}">
                  <a16:creationId xmlns:a16="http://schemas.microsoft.com/office/drawing/2014/main" id="{2FE139EC-ADC7-4539-8609-FB7A85DF88BF}"/>
                </a:ext>
              </a:extLst>
            </xdr:cNvPr>
            <xdr:cNvSpPr txBox="1"/>
          </xdr:nvSpPr>
          <xdr:spPr>
            <a:xfrm>
              <a:off x="552450" y="22288500"/>
              <a:ext cx="239874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𝐴_𝑓1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138</xdr:row>
      <xdr:rowOff>0</xdr:rowOff>
    </xdr:from>
    <xdr:ext cx="239874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2E79CE8F-9737-4ED9-BD42-20D33DC52B65}"/>
                </a:ext>
              </a:extLst>
            </xdr:cNvPr>
            <xdr:cNvSpPr txBox="1"/>
          </xdr:nvSpPr>
          <xdr:spPr>
            <a:xfrm>
              <a:off x="552450" y="22479000"/>
              <a:ext cx="239874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2E79CE8F-9737-4ED9-BD42-20D33DC52B65}"/>
                </a:ext>
              </a:extLst>
            </xdr:cNvPr>
            <xdr:cNvSpPr txBox="1"/>
          </xdr:nvSpPr>
          <xdr:spPr>
            <a:xfrm>
              <a:off x="552450" y="22479000"/>
              <a:ext cx="239874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𝐴_𝑓0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139</xdr:row>
      <xdr:rowOff>0</xdr:rowOff>
    </xdr:from>
    <xdr:ext cx="20345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2" name="テキスト ボックス 41">
              <a:extLst>
                <a:ext uri="{FF2B5EF4-FFF2-40B4-BE49-F238E27FC236}">
                  <a16:creationId xmlns:a16="http://schemas.microsoft.com/office/drawing/2014/main" id="{EE926B75-459D-4595-B722-8E9142FD1952}"/>
                </a:ext>
              </a:extLst>
            </xdr:cNvPr>
            <xdr:cNvSpPr txBox="1"/>
          </xdr:nvSpPr>
          <xdr:spPr>
            <a:xfrm>
              <a:off x="552450" y="22669500"/>
              <a:ext cx="20345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𝑏𝑒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42" name="テキスト ボックス 41">
              <a:extLst>
                <a:ext uri="{FF2B5EF4-FFF2-40B4-BE49-F238E27FC236}">
                  <a16:creationId xmlns:a16="http://schemas.microsoft.com/office/drawing/2014/main" id="{EE926B75-459D-4595-B722-8E9142FD1952}"/>
                </a:ext>
              </a:extLst>
            </xdr:cNvPr>
            <xdr:cNvSpPr txBox="1"/>
          </xdr:nvSpPr>
          <xdr:spPr>
            <a:xfrm>
              <a:off x="552450" y="22669500"/>
              <a:ext cx="20345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𝐼_𝑏𝑒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140</xdr:row>
      <xdr:rowOff>0</xdr:rowOff>
    </xdr:from>
    <xdr:ext cx="1997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テキスト ボックス 42">
              <a:extLst>
                <a:ext uri="{FF2B5EF4-FFF2-40B4-BE49-F238E27FC236}">
                  <a16:creationId xmlns:a16="http://schemas.microsoft.com/office/drawing/2014/main" id="{A21E0A49-164A-4616-BF83-7DA3F7470624}"/>
                </a:ext>
              </a:extLst>
            </xdr:cNvPr>
            <xdr:cNvSpPr txBox="1"/>
          </xdr:nvSpPr>
          <xdr:spPr>
            <a:xfrm>
              <a:off x="552450" y="22860000"/>
              <a:ext cx="199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𝐼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𝑏𝑐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43" name="テキスト ボックス 42">
              <a:extLst>
                <a:ext uri="{FF2B5EF4-FFF2-40B4-BE49-F238E27FC236}">
                  <a16:creationId xmlns:a16="http://schemas.microsoft.com/office/drawing/2014/main" id="{A21E0A49-164A-4616-BF83-7DA3F7470624}"/>
                </a:ext>
              </a:extLst>
            </xdr:cNvPr>
            <xdr:cNvSpPr txBox="1"/>
          </xdr:nvSpPr>
          <xdr:spPr>
            <a:xfrm>
              <a:off x="552450" y="22860000"/>
              <a:ext cx="199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𝐼_𝑏𝑐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6</xdr:col>
      <xdr:colOff>634038</xdr:colOff>
      <xdr:row>132</xdr:row>
      <xdr:rowOff>165651</xdr:rowOff>
    </xdr:from>
    <xdr:ext cx="1788695" cy="5413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9" name="テキスト ボックス 48">
              <a:extLst>
                <a:ext uri="{FF2B5EF4-FFF2-40B4-BE49-F238E27FC236}">
                  <a16:creationId xmlns:a16="http://schemas.microsoft.com/office/drawing/2014/main" id="{6F32E437-F35B-4EC3-9CCA-999676B0ABCB}"/>
                </a:ext>
              </a:extLst>
            </xdr:cNvPr>
            <xdr:cNvSpPr txBox="1"/>
          </xdr:nvSpPr>
          <xdr:spPr>
            <a:xfrm>
              <a:off x="3516386" y="25974260"/>
              <a:ext cx="1788695" cy="5413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𝐼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𝑏𝑒</m:t>
                            </m:r>
                          </m:sub>
                        </m:sSub>
                        <m:r>
                          <a:rPr kumimoji="1" lang="en-US" altLang="ja-JP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𝐴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𝑓</m:t>
                            </m:r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kumimoji="1" lang="ja-JP" altLang="en-US" sz="1100" i="1">
                        <a:latin typeface="Cambria Math" panose="02040503050406030204" pitchFamily="18" charset="0"/>
                      </a:rPr>
                      <m:t>≦</m:t>
                    </m:r>
                    <m:r>
                      <a:rPr kumimoji="1" lang="en-US" altLang="ja-JP" sz="1100" b="0" i="0">
                        <a:latin typeface="Cambria Math" panose="02040503050406030204" pitchFamily="18" charset="0"/>
                      </a:rPr>
                      <m:t>200  </m:t>
                    </m:r>
                    <m:r>
                      <m:rPr>
                        <m:sty m:val="p"/>
                      </m:rPr>
                      <a:rPr kumimoji="1" lang="en-US" altLang="ja-JP" sz="1100" b="0" i="0">
                        <a:latin typeface="Cambria Math" panose="02040503050406030204" pitchFamily="18" charset="0"/>
                      </a:rPr>
                      <m:t>and</m:t>
                    </m:r>
                    <m:r>
                      <a:rPr kumimoji="1" lang="en-US" altLang="ja-JP" sz="1100" b="0" i="0">
                        <a:latin typeface="Cambria Math" panose="02040503050406030204" pitchFamily="18" charset="0"/>
                      </a:rPr>
                      <m:t>  </m:t>
                    </m:r>
                    <m:f>
                      <m:fPr>
                        <m:ctrlPr>
                          <a:rPr kumimoji="1" lang="en-US" altLang="ja-JP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𝑏𝑒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𝑦𝑒</m:t>
                            </m:r>
                          </m:sub>
                        </m:sSub>
                      </m:den>
                    </m:f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≦</m:t>
                    </m:r>
                    <m:r>
                      <a:rPr kumimoji="1" lang="en-US" altLang="ja-JP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50</m:t>
                    </m:r>
                  </m:oMath>
                </m:oMathPara>
              </a14:m>
              <a:endParaRPr lang="ja-JP" altLang="ja-JP">
                <a:effectLst/>
              </a:endParaRPr>
            </a:p>
            <a:p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49" name="テキスト ボックス 48">
              <a:extLst>
                <a:ext uri="{FF2B5EF4-FFF2-40B4-BE49-F238E27FC236}">
                  <a16:creationId xmlns:a16="http://schemas.microsoft.com/office/drawing/2014/main" id="{6F32E437-F35B-4EC3-9CCA-999676B0ABCB}"/>
                </a:ext>
              </a:extLst>
            </xdr:cNvPr>
            <xdr:cNvSpPr txBox="1"/>
          </xdr:nvSpPr>
          <xdr:spPr>
            <a:xfrm>
              <a:off x="3516386" y="25974260"/>
              <a:ext cx="1788695" cy="5413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100" i="0">
                  <a:latin typeface="Cambria Math" panose="02040503050406030204" pitchFamily="18" charset="0"/>
                </a:rPr>
                <a:t>(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𝐼_𝑏𝑒</a:t>
              </a:r>
              <a:r>
                <a:rPr kumimoji="1" lang="en-US" altLang="ja-JP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𝑑_𝑏)/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𝐴_𝑓1 </a:t>
              </a:r>
              <a:r>
                <a:rPr kumimoji="1" lang="ja-JP" altLang="en-US" sz="1100" i="0">
                  <a:latin typeface="Cambria Math" panose="02040503050406030204" pitchFamily="18" charset="0"/>
                </a:rPr>
                <a:t>≦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200  and  </a:t>
              </a:r>
              <a:r>
                <a:rPr kumimoji="1" lang="en-US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𝐼_𝑏𝑒/𝑖_𝑦𝑒 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≦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50</a:t>
              </a:r>
              <a:endParaRPr lang="ja-JP" altLang="ja-JP">
                <a:effectLst/>
              </a:endParaRPr>
            </a:p>
            <a:p>
              <a:pPr/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7</xdr:col>
      <xdr:colOff>152399</xdr:colOff>
      <xdr:row>134</xdr:row>
      <xdr:rowOff>173934</xdr:rowOff>
    </xdr:from>
    <xdr:ext cx="1744645" cy="370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0" name="テキスト ボックス 49">
              <a:extLst>
                <a:ext uri="{FF2B5EF4-FFF2-40B4-BE49-F238E27FC236}">
                  <a16:creationId xmlns:a16="http://schemas.microsoft.com/office/drawing/2014/main" id="{CD309ED8-C0F4-4897-8357-B88E0F69A9B0}"/>
                </a:ext>
              </a:extLst>
            </xdr:cNvPr>
            <xdr:cNvSpPr txBox="1"/>
          </xdr:nvSpPr>
          <xdr:spPr>
            <a:xfrm>
              <a:off x="3722203" y="26421521"/>
              <a:ext cx="1744645" cy="370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𝐼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𝑏𝑐</m:t>
                            </m:r>
                          </m:sub>
                        </m:sSub>
                        <m:r>
                          <a:rPr kumimoji="1" lang="en-US" altLang="ja-JP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𝐴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𝑓</m:t>
                            </m:r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0</m:t>
                            </m:r>
                          </m:sub>
                        </m:sSub>
                      </m:den>
                    </m:f>
                    <m:r>
                      <a:rPr kumimoji="1" lang="ja-JP" altLang="en-US" sz="1100" i="1">
                        <a:latin typeface="Cambria Math" panose="02040503050406030204" pitchFamily="18" charset="0"/>
                      </a:rPr>
                      <m:t>≦</m:t>
                    </m:r>
                    <m:r>
                      <a:rPr kumimoji="1" lang="en-US" altLang="ja-JP" sz="1100" b="0" i="0">
                        <a:latin typeface="Cambria Math" panose="02040503050406030204" pitchFamily="18" charset="0"/>
                      </a:rPr>
                      <m:t>200  </m:t>
                    </m:r>
                    <m:r>
                      <m:rPr>
                        <m:sty m:val="p"/>
                      </m:rPr>
                      <a:rPr kumimoji="1" lang="en-US" altLang="ja-JP" sz="1100" b="0" i="0">
                        <a:latin typeface="Cambria Math" panose="02040503050406030204" pitchFamily="18" charset="0"/>
                      </a:rPr>
                      <m:t>and</m:t>
                    </m:r>
                    <m:r>
                      <a:rPr kumimoji="1" lang="en-US" altLang="ja-JP" sz="1100" b="0" i="0">
                        <a:latin typeface="Cambria Math" panose="02040503050406030204" pitchFamily="18" charset="0"/>
                      </a:rPr>
                      <m:t>  </m:t>
                    </m:r>
                    <m:f>
                      <m:fPr>
                        <m:ctrlPr>
                          <a:rPr kumimoji="1" lang="en-US" altLang="ja-JP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𝑏𝑐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𝑦𝑐</m:t>
                            </m:r>
                          </m:sub>
                        </m:sSub>
                      </m:den>
                    </m:f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≦</m:t>
                    </m:r>
                    <m:r>
                      <a:rPr kumimoji="1" lang="en-US" altLang="ja-JP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50</m:t>
                    </m:r>
                  </m:oMath>
                </m:oMathPara>
              </a14:m>
              <a:endParaRPr lang="ja-JP" altLang="ja-JP">
                <a:effectLst/>
              </a:endParaRPr>
            </a:p>
          </xdr:txBody>
        </xdr:sp>
      </mc:Choice>
      <mc:Fallback xmlns="">
        <xdr:sp macro="" textlink="">
          <xdr:nvSpPr>
            <xdr:cNvPr id="50" name="テキスト ボックス 49">
              <a:extLst>
                <a:ext uri="{FF2B5EF4-FFF2-40B4-BE49-F238E27FC236}">
                  <a16:creationId xmlns:a16="http://schemas.microsoft.com/office/drawing/2014/main" id="{CD309ED8-C0F4-4897-8357-B88E0F69A9B0}"/>
                </a:ext>
              </a:extLst>
            </xdr:cNvPr>
            <xdr:cNvSpPr txBox="1"/>
          </xdr:nvSpPr>
          <xdr:spPr>
            <a:xfrm>
              <a:off x="3722203" y="26421521"/>
              <a:ext cx="1744645" cy="370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100" i="0">
                  <a:latin typeface="Cambria Math" panose="02040503050406030204" pitchFamily="18" charset="0"/>
                </a:rPr>
                <a:t>(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𝐼_𝑏𝑐</a:t>
              </a:r>
              <a:r>
                <a:rPr kumimoji="1" lang="en-US" altLang="ja-JP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𝑑_𝑏)/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𝐴_𝑓0 </a:t>
              </a:r>
              <a:r>
                <a:rPr kumimoji="1" lang="ja-JP" altLang="en-US" sz="1100" i="0">
                  <a:latin typeface="Cambria Math" panose="02040503050406030204" pitchFamily="18" charset="0"/>
                </a:rPr>
                <a:t>≦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200  and  </a:t>
              </a:r>
              <a:r>
                <a:rPr kumimoji="1" lang="en-US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𝐼_𝑏𝑐/𝑖_𝑦𝑐 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≦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50</a:t>
              </a:r>
              <a:endParaRPr lang="ja-JP" altLang="ja-JP">
                <a:effectLst/>
              </a:endParaRPr>
            </a:p>
          </xdr:txBody>
        </xdr:sp>
      </mc:Fallback>
    </mc:AlternateContent>
    <xdr:clientData/>
  </xdr:oneCellAnchor>
  <xdr:oneCellAnchor>
    <xdr:from>
      <xdr:col>7</xdr:col>
      <xdr:colOff>430705</xdr:colOff>
      <xdr:row>137</xdr:row>
      <xdr:rowOff>0</xdr:rowOff>
    </xdr:from>
    <xdr:ext cx="831894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テキスト ボックス 51">
              <a:extLst>
                <a:ext uri="{FF2B5EF4-FFF2-40B4-BE49-F238E27FC236}">
                  <a16:creationId xmlns:a16="http://schemas.microsoft.com/office/drawing/2014/main" id="{3E0E1EA3-2EA0-4B2E-8188-2CFBFC3842F8}"/>
                </a:ext>
              </a:extLst>
            </xdr:cNvPr>
            <xdr:cNvSpPr txBox="1"/>
          </xdr:nvSpPr>
          <xdr:spPr>
            <a:xfrm>
              <a:off x="4000509" y="26877065"/>
              <a:ext cx="831894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52" name="テキスト ボックス 51">
              <a:extLst>
                <a:ext uri="{FF2B5EF4-FFF2-40B4-BE49-F238E27FC236}">
                  <a16:creationId xmlns:a16="http://schemas.microsoft.com/office/drawing/2014/main" id="{3E0E1EA3-2EA0-4B2E-8188-2CFBFC3842F8}"/>
                </a:ext>
              </a:extLst>
            </xdr:cNvPr>
            <xdr:cNvSpPr txBox="1"/>
          </xdr:nvSpPr>
          <xdr:spPr>
            <a:xfrm>
              <a:off x="4000509" y="26877065"/>
              <a:ext cx="831894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𝐴_𝑓1=𝑏_𝑓1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∙𝑡_𝑓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7</xdr:col>
      <xdr:colOff>165661</xdr:colOff>
      <xdr:row>138</xdr:row>
      <xdr:rowOff>0</xdr:rowOff>
    </xdr:from>
    <xdr:ext cx="831894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3" name="テキスト ボックス 52">
              <a:extLst>
                <a:ext uri="{FF2B5EF4-FFF2-40B4-BE49-F238E27FC236}">
                  <a16:creationId xmlns:a16="http://schemas.microsoft.com/office/drawing/2014/main" id="{B9141AD9-F9C3-4AF4-B85B-292ECE7DB226}"/>
                </a:ext>
              </a:extLst>
            </xdr:cNvPr>
            <xdr:cNvSpPr txBox="1"/>
          </xdr:nvSpPr>
          <xdr:spPr>
            <a:xfrm>
              <a:off x="3735465" y="27067565"/>
              <a:ext cx="831894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53" name="テキスト ボックス 52">
              <a:extLst>
                <a:ext uri="{FF2B5EF4-FFF2-40B4-BE49-F238E27FC236}">
                  <a16:creationId xmlns:a16="http://schemas.microsoft.com/office/drawing/2014/main" id="{B9141AD9-F9C3-4AF4-B85B-292ECE7DB226}"/>
                </a:ext>
              </a:extLst>
            </xdr:cNvPr>
            <xdr:cNvSpPr txBox="1"/>
          </xdr:nvSpPr>
          <xdr:spPr>
            <a:xfrm>
              <a:off x="3735465" y="27067565"/>
              <a:ext cx="831894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𝐴_𝑓0=𝑏_𝑓0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∙𝑡_𝑓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8</xdr:col>
      <xdr:colOff>171450</xdr:colOff>
      <xdr:row>25</xdr:row>
      <xdr:rowOff>19050</xdr:rowOff>
    </xdr:from>
    <xdr:ext cx="77162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テキスト ボックス 53">
              <a:extLst>
                <a:ext uri="{FF2B5EF4-FFF2-40B4-BE49-F238E27FC236}">
                  <a16:creationId xmlns:a16="http://schemas.microsoft.com/office/drawing/2014/main" id="{E3C88EFF-159E-4DEE-A905-4738C39DC29E}"/>
                </a:ext>
              </a:extLst>
            </xdr:cNvPr>
            <xdr:cNvSpPr txBox="1"/>
          </xdr:nvSpPr>
          <xdr:spPr>
            <a:xfrm>
              <a:off x="4429125" y="5162550"/>
              <a:ext cx="7716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𝑏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/2</m:t>
                    </m:r>
                  </m:oMath>
                </m:oMathPara>
              </a14:m>
              <a:endParaRPr kumimoji="1" lang="ja-JP" altLang="en-US" sz="1200"/>
            </a:p>
          </xdr:txBody>
        </xdr:sp>
      </mc:Choice>
      <mc:Fallback xmlns="">
        <xdr:sp macro="" textlink="">
          <xdr:nvSpPr>
            <xdr:cNvPr id="54" name="テキスト ボックス 53">
              <a:extLst>
                <a:ext uri="{FF2B5EF4-FFF2-40B4-BE49-F238E27FC236}">
                  <a16:creationId xmlns:a16="http://schemas.microsoft.com/office/drawing/2014/main" id="{E3C88EFF-159E-4DEE-A905-4738C39DC29E}"/>
                </a:ext>
              </a:extLst>
            </xdr:cNvPr>
            <xdr:cNvSpPr txBox="1"/>
          </xdr:nvSpPr>
          <xdr:spPr>
            <a:xfrm>
              <a:off x="4429125" y="5162550"/>
              <a:ext cx="7716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 panose="02040503050406030204" pitchFamily="18" charset="0"/>
                </a:rPr>
                <a:t>𝑥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=𝑎+𝑏/2</a:t>
              </a:r>
              <a:endParaRPr kumimoji="1" lang="ja-JP" altLang="en-US" sz="1200"/>
            </a:p>
          </xdr:txBody>
        </xdr:sp>
      </mc:Fallback>
    </mc:AlternateContent>
    <xdr:clientData/>
  </xdr:oneCellAnchor>
  <xdr:twoCellAnchor>
    <xdr:from>
      <xdr:col>2</xdr:col>
      <xdr:colOff>104775</xdr:colOff>
      <xdr:row>28</xdr:row>
      <xdr:rowOff>57150</xdr:rowOff>
    </xdr:from>
    <xdr:to>
      <xdr:col>8</xdr:col>
      <xdr:colOff>419100</xdr:colOff>
      <xdr:row>35</xdr:row>
      <xdr:rowOff>114300</xdr:rowOff>
    </xdr:to>
    <xdr:sp macro="" textlink="">
      <xdr:nvSpPr>
        <xdr:cNvPr id="103425" name="Object 1" hidden="1">
          <a:extLst>
            <a:ext uri="{63B3BB69-23CF-44E3-9099-C40C66FF867C}">
              <a14:compatExt xmlns:a14="http://schemas.microsoft.com/office/drawing/2010/main" spid="_x0000_s103425"/>
            </a:ext>
            <a:ext uri="{FF2B5EF4-FFF2-40B4-BE49-F238E27FC236}">
              <a16:creationId xmlns:a16="http://schemas.microsoft.com/office/drawing/2014/main" id="{00000000-0008-0000-0100-0000019401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38</xdr:row>
          <xdr:rowOff>0</xdr:rowOff>
        </xdr:from>
        <xdr:to>
          <xdr:col>7</xdr:col>
          <xdr:colOff>200025</xdr:colOff>
          <xdr:row>44</xdr:row>
          <xdr:rowOff>0</xdr:rowOff>
        </xdr:to>
        <xdr:sp macro="" textlink="">
          <xdr:nvSpPr>
            <xdr:cNvPr id="103426" name="Object 2" hidden="1">
              <a:extLst>
                <a:ext uri="{63B3BB69-23CF-44E3-9099-C40C66FF867C}">
                  <a14:compatExt spid="_x0000_s103426"/>
                </a:ext>
                <a:ext uri="{FF2B5EF4-FFF2-40B4-BE49-F238E27FC236}">
                  <a16:creationId xmlns:a16="http://schemas.microsoft.com/office/drawing/2014/main" id="{00000000-0008-0000-0100-000002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0</xdr:colOff>
      <xdr:row>63</xdr:row>
      <xdr:rowOff>0</xdr:rowOff>
    </xdr:from>
    <xdr:ext cx="325154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テキスト ボックス 61">
              <a:extLst>
                <a:ext uri="{FF2B5EF4-FFF2-40B4-BE49-F238E27FC236}">
                  <a16:creationId xmlns:a16="http://schemas.microsoft.com/office/drawing/2014/main" id="{692E2C7F-1311-49D3-8282-9E5E85E3F46A}"/>
                </a:ext>
              </a:extLst>
            </xdr:cNvPr>
            <xdr:cNvSpPr txBox="1"/>
          </xdr:nvSpPr>
          <xdr:spPr>
            <a:xfrm>
              <a:off x="552450" y="8991600"/>
              <a:ext cx="325154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𝑤𝑝𝑒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62" name="テキスト ボックス 61">
              <a:extLst>
                <a:ext uri="{FF2B5EF4-FFF2-40B4-BE49-F238E27FC236}">
                  <a16:creationId xmlns:a16="http://schemas.microsoft.com/office/drawing/2014/main" id="{692E2C7F-1311-49D3-8282-9E5E85E3F46A}"/>
                </a:ext>
              </a:extLst>
            </xdr:cNvPr>
            <xdr:cNvSpPr txBox="1"/>
          </xdr:nvSpPr>
          <xdr:spPr>
            <a:xfrm>
              <a:off x="552450" y="8991600"/>
              <a:ext cx="325154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𝑍_𝑤𝑝𝑒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1</xdr:col>
      <xdr:colOff>277585</xdr:colOff>
      <xdr:row>62</xdr:row>
      <xdr:rowOff>0</xdr:rowOff>
    </xdr:from>
    <xdr:ext cx="1361270" cy="1888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テキスト ボックス 62">
              <a:extLst>
                <a:ext uri="{FF2B5EF4-FFF2-40B4-BE49-F238E27FC236}">
                  <a16:creationId xmlns:a16="http://schemas.microsoft.com/office/drawing/2014/main" id="{4D0EE8A3-334C-477B-BD32-C0BC792ED1FC}"/>
                </a:ext>
              </a:extLst>
            </xdr:cNvPr>
            <xdr:cNvSpPr txBox="1"/>
          </xdr:nvSpPr>
          <xdr:spPr>
            <a:xfrm>
              <a:off x="555171" y="11430000"/>
              <a:ext cx="1361270" cy="1888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Pre>
                      <m:sPre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PrePr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  <m:sup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 </m:t>
                        </m:r>
                      </m:sup>
                      <m:e>
                        <m:sSub>
                          <m:sSubPr>
                            <m:ctrlPr>
                              <a:rPr lang="en-US" altLang="ja-JP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ja-JP" b="0" i="1">
                                <a:latin typeface="Cambria Math" panose="02040503050406030204" pitchFamily="18" charset="0"/>
                              </a:rPr>
                              <m:t>𝑀</m:t>
                            </m:r>
                          </m:e>
                          <m:sub>
                            <m:r>
                              <a:rPr lang="en-US" altLang="ja-JP" b="0" i="1">
                                <a:latin typeface="Cambria Math" panose="02040503050406030204" pitchFamily="18" charset="0"/>
                              </a:rPr>
                              <m:t>𝑤𝑢</m:t>
                            </m:r>
                          </m:sub>
                        </m:sSub>
                        <m:r>
                          <a:rPr lang="en-US" altLang="ja-JP" b="0" i="1"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en-US" altLang="ja-JP" b="0" i="1">
                            <a:latin typeface="Cambria Math" panose="02040503050406030204" pitchFamily="18" charset="0"/>
                          </a:rPr>
                          <m:t>𝑚</m:t>
                        </m:r>
                        <m:r>
                          <a:rPr lang="en-US" altLang="ja-JP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lang="en-US" altLang="ja-JP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ja-JP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𝑍</m:t>
                            </m:r>
                          </m:e>
                          <m:sub>
                            <m:r>
                              <a:rPr lang="en-US" altLang="ja-JP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𝑤𝑝𝑒</m:t>
                            </m:r>
                          </m:sub>
                        </m:sSub>
                        <m:r>
                          <a:rPr lang="en-US" altLang="ja-JP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lang="en-US" altLang="ja-JP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ja-JP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𝐹</m:t>
                            </m:r>
                          </m:e>
                          <m:sub>
                            <m:r>
                              <a:rPr lang="en-US" altLang="ja-JP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𝑓𝑢</m:t>
                            </m:r>
                          </m:sub>
                        </m:sSub>
                      </m:e>
                    </m:sPre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63" name="テキスト ボックス 62">
              <a:extLst>
                <a:ext uri="{FF2B5EF4-FFF2-40B4-BE49-F238E27FC236}">
                  <a16:creationId xmlns:a16="http://schemas.microsoft.com/office/drawing/2014/main" id="{4D0EE8A3-334C-477B-BD32-C0BC792ED1FC}"/>
                </a:ext>
              </a:extLst>
            </xdr:cNvPr>
            <xdr:cNvSpPr txBox="1"/>
          </xdr:nvSpPr>
          <xdr:spPr>
            <a:xfrm>
              <a:off x="555171" y="11430000"/>
              <a:ext cx="1361270" cy="1888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i="0">
                  <a:latin typeface="Cambria Math" panose="02040503050406030204" pitchFamily="18" charset="0"/>
                </a:rPr>
                <a:t>(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_𝑗^ )</a:t>
              </a:r>
              <a:r>
                <a:rPr lang="en-US" altLang="ja-JP" b="0" i="0">
                  <a:latin typeface="Cambria Math" panose="02040503050406030204" pitchFamily="18" charset="0"/>
                </a:rPr>
                <a:t>𝑀_𝑤𝑢=𝑚</a:t>
              </a:r>
              <a:r>
                <a:rPr lang="en-US" altLang="ja-JP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∙𝑍_𝑤𝑝𝑒∙𝐹_𝑓𝑢 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64</xdr:row>
      <xdr:rowOff>0</xdr:rowOff>
    </xdr:from>
    <xdr:ext cx="2082814" cy="31688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424" name="テキスト ボックス 103423">
              <a:extLst>
                <a:ext uri="{FF2B5EF4-FFF2-40B4-BE49-F238E27FC236}">
                  <a16:creationId xmlns:a16="http://schemas.microsoft.com/office/drawing/2014/main" id="{854AC170-B252-4E6B-BBC4-E00DCF01C9F6}"/>
                </a:ext>
              </a:extLst>
            </xdr:cNvPr>
            <xdr:cNvSpPr txBox="1"/>
          </xdr:nvSpPr>
          <xdr:spPr>
            <a:xfrm>
              <a:off x="552450" y="9220200"/>
              <a:ext cx="2082814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𝑍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𝑤𝑝𝑒</m:t>
                        </m:r>
                      </m:sub>
                    </m:sSub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4</m:t>
                        </m:r>
                      </m:den>
                    </m:f>
                    <m:sSup>
                      <m:sSup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𝐷</m:t>
                                </m:r>
                              </m:e>
                              <m:sub>
                                <m: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𝑏</m:t>
                                </m:r>
                              </m:sub>
                            </m:s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−2</m:t>
                            </m:r>
                            <m:sSub>
                              <m:sSubPr>
                                <m:ctrlP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𝑏𝑓</m:t>
                                </m:r>
                              </m:sub>
                            </m:s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−2</m:t>
                            </m:r>
                            <m:sSub>
                              <m:sSubPr>
                                <m:ctrlP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𝑆</m:t>
                                </m:r>
                              </m:e>
                              <m:sub>
                                <m:r>
                                  <a:rPr kumimoji="1" lang="en-US" altLang="ja-JP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</m:t>
                                </m:r>
                              </m:sub>
                            </m:sSub>
                          </m:e>
                        </m:d>
                      </m:e>
                      <m:sup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kumimoji="1" lang="en-US" altLang="ja-JP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kumimoji="1" lang="en-US" altLang="ja-JP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𝑏𝑤</m:t>
                        </m:r>
                      </m:sub>
                    </m:sSub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103424" name="テキスト ボックス 103423">
              <a:extLst>
                <a:ext uri="{FF2B5EF4-FFF2-40B4-BE49-F238E27FC236}">
                  <a16:creationId xmlns:a16="http://schemas.microsoft.com/office/drawing/2014/main" id="{854AC170-B252-4E6B-BBC4-E00DCF01C9F6}"/>
                </a:ext>
              </a:extLst>
            </xdr:cNvPr>
            <xdr:cNvSpPr txBox="1"/>
          </xdr:nvSpPr>
          <xdr:spPr>
            <a:xfrm>
              <a:off x="552450" y="9220200"/>
              <a:ext cx="2082814" cy="3168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𝑍_𝑤𝑝𝑒=1/4 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(𝐷_𝑏−2𝑡_𝑏𝑓−2𝑆_𝑟 )^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2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∙𝑡_𝑏𝑤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4</xdr:col>
      <xdr:colOff>423657</xdr:colOff>
      <xdr:row>68</xdr:row>
      <xdr:rowOff>29817</xdr:rowOff>
    </xdr:from>
    <xdr:ext cx="1816779" cy="5404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427" name="テキスト ボックス 103426">
              <a:extLst>
                <a:ext uri="{FF2B5EF4-FFF2-40B4-BE49-F238E27FC236}">
                  <a16:creationId xmlns:a16="http://schemas.microsoft.com/office/drawing/2014/main" id="{CAEE415A-B07C-4EDA-989D-05E0F10283CC}"/>
                </a:ext>
              </a:extLst>
            </xdr:cNvPr>
            <xdr:cNvSpPr txBox="1"/>
          </xdr:nvSpPr>
          <xdr:spPr>
            <a:xfrm>
              <a:off x="1931092" y="13530469"/>
              <a:ext cx="1816779" cy="5404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𝑚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kumimoji="1" lang="en-US" altLang="ja-JP" sz="1100" b="0" i="1">
                        <a:latin typeface="Cambria Math" panose="02040503050406030204" pitchFamily="18" charset="0"/>
                      </a:rPr>
                      <m:t>𝑚𝑖𝑛</m:t>
                    </m:r>
                    <m:d>
                      <m:dPr>
                        <m:begChr m:val="{"/>
                        <m:endChr m:val="}"/>
                        <m:ctrlP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kumimoji="1" lang="en-US" altLang="ja-JP" sz="1100" b="0" i="1">
                            <a:latin typeface="Cambria Math" panose="02040503050406030204" pitchFamily="18" charset="0"/>
                          </a:rPr>
                          <m:t>1,4</m:t>
                        </m:r>
                        <m:f>
                          <m:fPr>
                            <m:ctrlP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kumimoji="1" lang="en-US" altLang="ja-JP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</a:rPr>
                                  <m:t>𝑡</m:t>
                                </m:r>
                              </m:e>
                              <m:sub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</a:rPr>
                                  <m:t>𝑐𝑓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kumimoji="1" lang="en-US" altLang="ja-JP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</a:rPr>
                                  <m:t>𝑑</m:t>
                                </m:r>
                              </m:e>
                              <m:sub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</a:rPr>
                                  <m:t>𝑗</m:t>
                                </m:r>
                              </m:sub>
                            </m:sSub>
                          </m:den>
                        </m:f>
                        <m:rad>
                          <m:radPr>
                            <m:degHide m:val="on"/>
                            <m:ctrlP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kumimoji="1" lang="en-US" altLang="ja-JP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  <m:t>𝑏</m:t>
                                    </m:r>
                                  </m:e>
                                  <m:sub>
                                    <m: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  <m:t>𝑗</m:t>
                                    </m:r>
                                  </m:sub>
                                </m:sSub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∙</m:t>
                                </m:r>
                                <m:sSub>
                                  <m:sSubPr>
                                    <m:ctrlP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𝐹</m:t>
                                    </m:r>
                                  </m:e>
                                  <m:sub>
                                    <m: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𝑐𝑦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  <m:t>𝑡</m:t>
                                    </m:r>
                                  </m:e>
                                  <m:sub>
                                    <m: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  <m:t>𝑏𝑤</m:t>
                                    </m:r>
                                  </m:sub>
                                </m:sSub>
                                <m:r>
                                  <a:rPr kumimoji="1" lang="en-US" altLang="ja-JP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∙</m:t>
                                </m:r>
                                <m:sSub>
                                  <m:sSubPr>
                                    <m:ctrlP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  <m:t>𝐹</m:t>
                                    </m:r>
                                  </m:e>
                                  <m:sub>
                                    <m:r>
                                      <a:rPr kumimoji="1" lang="en-US" altLang="ja-JP" sz="1100" b="0" i="1">
                                        <a:latin typeface="Cambria Math" panose="02040503050406030204" pitchFamily="18" charset="0"/>
                                      </a:rPr>
                                      <m:t>𝑤𝑦</m:t>
                                    </m:r>
                                  </m:sub>
                                </m:sSub>
                              </m:den>
                            </m:f>
                          </m:e>
                        </m:rad>
                      </m:e>
                    </m:d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103427" name="テキスト ボックス 103426">
              <a:extLst>
                <a:ext uri="{FF2B5EF4-FFF2-40B4-BE49-F238E27FC236}">
                  <a16:creationId xmlns:a16="http://schemas.microsoft.com/office/drawing/2014/main" id="{CAEE415A-B07C-4EDA-989D-05E0F10283CC}"/>
                </a:ext>
              </a:extLst>
            </xdr:cNvPr>
            <xdr:cNvSpPr txBox="1"/>
          </xdr:nvSpPr>
          <xdr:spPr>
            <a:xfrm>
              <a:off x="1931092" y="13530469"/>
              <a:ext cx="1816779" cy="5404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100" b="0" i="0">
                  <a:latin typeface="Cambria Math" panose="02040503050406030204" pitchFamily="18" charset="0"/>
                </a:rPr>
                <a:t>𝑚=𝑚𝑖𝑛{1,4 𝑡_𝑐𝑓/𝑑_𝑗  √((𝑏_𝑗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∙𝐹_𝑐𝑦)/(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𝑡_𝑏𝑤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𝐹_𝑤𝑦 ))}</a:t>
              </a:r>
              <a:endParaRPr kumimoji="1" lang="ja-JP" altLang="en-US" sz="1100"/>
            </a:p>
          </xdr:txBody>
        </xdr:sp>
      </mc:Fallback>
    </mc:AlternateContent>
    <xdr:clientData/>
  </xdr:oneCellAnchor>
  <xdr:twoCellAnchor editAs="oneCell">
    <xdr:from>
      <xdr:col>2</xdr:col>
      <xdr:colOff>66675</xdr:colOff>
      <xdr:row>48</xdr:row>
      <xdr:rowOff>47625</xdr:rowOff>
    </xdr:from>
    <xdr:to>
      <xdr:col>9</xdr:col>
      <xdr:colOff>374820</xdr:colOff>
      <xdr:row>60</xdr:row>
      <xdr:rowOff>142875</xdr:rowOff>
    </xdr:to>
    <xdr:pic>
      <xdr:nvPicPr>
        <xdr:cNvPr id="103429" name="図 103428">
          <a:extLst>
            <a:ext uri="{FF2B5EF4-FFF2-40B4-BE49-F238E27FC236}">
              <a16:creationId xmlns:a16="http://schemas.microsoft.com/office/drawing/2014/main" id="{0D07D79E-B9FD-F2C0-2631-4D317B94FF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8810625"/>
          <a:ext cx="4699170" cy="2381250"/>
        </a:xfrm>
        <a:prstGeom prst="rect">
          <a:avLst/>
        </a:prstGeom>
      </xdr:spPr>
    </xdr:pic>
    <xdr:clientData/>
  </xdr:twoCellAnchor>
  <xdr:oneCellAnchor>
    <xdr:from>
      <xdr:col>2</xdr:col>
      <xdr:colOff>0</xdr:colOff>
      <xdr:row>75</xdr:row>
      <xdr:rowOff>0</xdr:rowOff>
    </xdr:from>
    <xdr:ext cx="162159" cy="1997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428" name="テキスト ボックス 103427">
              <a:extLst>
                <a:ext uri="{FF2B5EF4-FFF2-40B4-BE49-F238E27FC236}">
                  <a16:creationId xmlns:a16="http://schemas.microsoft.com/office/drawing/2014/main" id="{231C398F-A97D-414B-B843-1978379105E4}"/>
                </a:ext>
              </a:extLst>
            </xdr:cNvPr>
            <xdr:cNvSpPr txBox="1"/>
          </xdr:nvSpPr>
          <xdr:spPr>
            <a:xfrm>
              <a:off x="552450" y="14058900"/>
              <a:ext cx="162159" cy="1997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kumimoji="1" lang="en-US" altLang="ja-JP" sz="12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b>
                        <m:r>
                          <a:rPr kumimoji="1" lang="en-US" altLang="ja-JP" sz="1200" b="0" i="1">
                            <a:latin typeface="Cambria Math" panose="02040503050406030204" pitchFamily="18" charset="0"/>
                          </a:rPr>
                          <m:t>𝑗</m:t>
                        </m:r>
                      </m:sub>
                    </m:sSub>
                  </m:oMath>
                </m:oMathPara>
              </a14:m>
              <a:endParaRPr kumimoji="1" lang="ja-JP" altLang="en-US" sz="1400"/>
            </a:p>
          </xdr:txBody>
        </xdr:sp>
      </mc:Choice>
      <mc:Fallback xmlns="">
        <xdr:sp macro="" textlink="">
          <xdr:nvSpPr>
            <xdr:cNvPr id="103428" name="テキスト ボックス 103427">
              <a:extLst>
                <a:ext uri="{FF2B5EF4-FFF2-40B4-BE49-F238E27FC236}">
                  <a16:creationId xmlns:a16="http://schemas.microsoft.com/office/drawing/2014/main" id="{231C398F-A97D-414B-B843-1978379105E4}"/>
                </a:ext>
              </a:extLst>
            </xdr:cNvPr>
            <xdr:cNvSpPr txBox="1"/>
          </xdr:nvSpPr>
          <xdr:spPr>
            <a:xfrm>
              <a:off x="552450" y="14058900"/>
              <a:ext cx="162159" cy="1997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200" b="0" i="0">
                  <a:latin typeface="Cambria Math" panose="02040503050406030204" pitchFamily="18" charset="0"/>
                </a:rPr>
                <a:t>𝑏_𝑗</a:t>
              </a:r>
              <a:endParaRPr kumimoji="1" lang="ja-JP" altLang="en-US" sz="14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104775</xdr:colOff>
          <xdr:row>28</xdr:row>
          <xdr:rowOff>66675</xdr:rowOff>
        </xdr:from>
        <xdr:to>
          <xdr:col>8</xdr:col>
          <xdr:colOff>438150</xdr:colOff>
          <xdr:row>35</xdr:row>
          <xdr:rowOff>171450</xdr:rowOff>
        </xdr:to>
        <xdr:sp macro="" textlink="">
          <xdr:nvSpPr>
            <xdr:cNvPr id="103430" name="Object 6" hidden="1">
              <a:extLst>
                <a:ext uri="{63B3BB69-23CF-44E3-9099-C40C66FF867C}">
                  <a14:compatExt spid="_x0000_s103430"/>
                </a:ext>
                <a:ext uri="{FF2B5EF4-FFF2-40B4-BE49-F238E27FC236}">
                  <a16:creationId xmlns:a16="http://schemas.microsoft.com/office/drawing/2014/main" id="{00000000-0008-0000-0100-0000069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28575</xdr:colOff>
      <xdr:row>29</xdr:row>
      <xdr:rowOff>49698</xdr:rowOff>
    </xdr:from>
    <xdr:to>
      <xdr:col>9</xdr:col>
      <xdr:colOff>9525</xdr:colOff>
      <xdr:row>30</xdr:row>
      <xdr:rowOff>100498</xdr:rowOff>
    </xdr:to>
    <xdr:sp macro="" textlink="">
      <xdr:nvSpPr>
        <xdr:cNvPr id="103651" name="AutoShape 350">
          <a:extLst>
            <a:ext uri="{FF2B5EF4-FFF2-40B4-BE49-F238E27FC236}">
              <a16:creationId xmlns:a16="http://schemas.microsoft.com/office/drawing/2014/main" id="{1DFB93CD-7349-9A3F-7F04-6B6779EABFD5}"/>
            </a:ext>
          </a:extLst>
        </xdr:cNvPr>
        <xdr:cNvSpPr>
          <a:spLocks noChangeArrowheads="1"/>
        </xdr:cNvSpPr>
      </xdr:nvSpPr>
      <xdr:spPr bwMode="auto">
        <a:xfrm>
          <a:off x="4285836" y="5955198"/>
          <a:ext cx="668406" cy="241300"/>
        </a:xfrm>
        <a:prstGeom prst="wedgeRectCallout">
          <a:avLst>
            <a:gd name="adj1" fmla="val -40287"/>
            <a:gd name="adj2" fmla="val 13631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/>
          <a:r>
            <a:rPr lang="en-US" sz="1050" kern="100">
              <a:effectLst/>
              <a:latin typeface="Century" panose="020406040505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column</a:t>
          </a:r>
          <a:endParaRPr lang="ja-JP" sz="1050" kern="100">
            <a:effectLst/>
            <a:latin typeface="Century" panose="02040604050505020304" pitchFamily="18" charset="0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96492</xdr:colOff>
      <xdr:row>29</xdr:row>
      <xdr:rowOff>78273</xdr:rowOff>
    </xdr:from>
    <xdr:to>
      <xdr:col>5</xdr:col>
      <xdr:colOff>20292</xdr:colOff>
      <xdr:row>30</xdr:row>
      <xdr:rowOff>97323</xdr:rowOff>
    </xdr:to>
    <xdr:sp macro="" textlink="">
      <xdr:nvSpPr>
        <xdr:cNvPr id="103652" name="AutoShape 350">
          <a:extLst>
            <a:ext uri="{FF2B5EF4-FFF2-40B4-BE49-F238E27FC236}">
              <a16:creationId xmlns:a16="http://schemas.microsoft.com/office/drawing/2014/main" id="{8F66A5C9-66B6-8EAD-9B1F-4F094F98E5AC}"/>
            </a:ext>
          </a:extLst>
        </xdr:cNvPr>
        <xdr:cNvSpPr>
          <a:spLocks noChangeArrowheads="1"/>
        </xdr:cNvSpPr>
      </xdr:nvSpPr>
      <xdr:spPr bwMode="auto">
        <a:xfrm>
          <a:off x="1603927" y="5983773"/>
          <a:ext cx="611256" cy="209550"/>
        </a:xfrm>
        <a:prstGeom prst="wedgeRectCallout">
          <a:avLst>
            <a:gd name="adj1" fmla="val -47358"/>
            <a:gd name="adj2" fmla="val 14689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/>
          <a:r>
            <a:rPr lang="en-US" sz="1050" kern="100">
              <a:effectLst/>
              <a:latin typeface="Century" panose="020406040505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hinge</a:t>
          </a:r>
          <a:endParaRPr lang="ja-JP" sz="1050" kern="100">
            <a:effectLst/>
            <a:latin typeface="Century" panose="02040604050505020304" pitchFamily="18" charset="0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80211</xdr:colOff>
      <xdr:row>29</xdr:row>
      <xdr:rowOff>79777</xdr:rowOff>
    </xdr:from>
    <xdr:to>
      <xdr:col>3</xdr:col>
      <xdr:colOff>415089</xdr:colOff>
      <xdr:row>30</xdr:row>
      <xdr:rowOff>98827</xdr:rowOff>
    </xdr:to>
    <xdr:sp macro="" textlink="">
      <xdr:nvSpPr>
        <xdr:cNvPr id="103653" name="AutoShape 350">
          <a:extLst>
            <a:ext uri="{FF2B5EF4-FFF2-40B4-BE49-F238E27FC236}">
              <a16:creationId xmlns:a16="http://schemas.microsoft.com/office/drawing/2014/main" id="{D7C294D1-364B-4D2E-931B-4AA274134BFE}"/>
            </a:ext>
          </a:extLst>
        </xdr:cNvPr>
        <xdr:cNvSpPr>
          <a:spLocks noChangeArrowheads="1"/>
        </xdr:cNvSpPr>
      </xdr:nvSpPr>
      <xdr:spPr bwMode="auto">
        <a:xfrm>
          <a:off x="626863" y="5985277"/>
          <a:ext cx="608204" cy="209550"/>
        </a:xfrm>
        <a:prstGeom prst="wedgeRectCallout">
          <a:avLst>
            <a:gd name="adj1" fmla="val 18323"/>
            <a:gd name="adj2" fmla="val 1324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0" tIns="0" rIns="0" bIns="0" anchor="t" anchorCtr="0" upright="1">
          <a:noAutofit/>
        </a:bodyPr>
        <a:lstStyle/>
        <a:p>
          <a:pPr algn="ctr"/>
          <a:r>
            <a:rPr lang="en-US" sz="1050" kern="100">
              <a:effectLst/>
              <a:latin typeface="Century" panose="020406040505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column</a:t>
          </a:r>
          <a:endParaRPr lang="ja-JP" sz="1050" kern="100">
            <a:effectLst/>
            <a:latin typeface="Century" panose="02040604050505020304" pitchFamily="18" charset="0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341587</xdr:colOff>
      <xdr:row>32</xdr:row>
      <xdr:rowOff>167939</xdr:rowOff>
    </xdr:from>
    <xdr:to>
      <xdr:col>6</xdr:col>
      <xdr:colOff>191814</xdr:colOff>
      <xdr:row>34</xdr:row>
      <xdr:rowOff>18079</xdr:rowOff>
    </xdr:to>
    <xdr:sp macro="" textlink="">
      <xdr:nvSpPr>
        <xdr:cNvPr id="103654" name="Text Box 244">
          <a:extLst>
            <a:ext uri="{FF2B5EF4-FFF2-40B4-BE49-F238E27FC236}">
              <a16:creationId xmlns:a16="http://schemas.microsoft.com/office/drawing/2014/main" id="{B6DB368C-26A4-00BE-8BAF-635BA2B18C33}"/>
            </a:ext>
          </a:extLst>
        </xdr:cNvPr>
        <xdr:cNvSpPr txBox="1">
          <a:spLocks noChangeArrowheads="1"/>
        </xdr:cNvSpPr>
      </xdr:nvSpPr>
      <xdr:spPr bwMode="auto">
        <a:xfrm>
          <a:off x="2536478" y="6644939"/>
          <a:ext cx="537684" cy="23114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74295" tIns="8890" rIns="74295" bIns="0" anchor="b" anchorCtr="0" upright="1">
          <a:noAutofit/>
        </a:bodyPr>
        <a:lstStyle/>
        <a:p>
          <a:pPr algn="ctr"/>
          <a:r>
            <a:rPr lang="en-US" sz="1050" kern="100">
              <a:effectLst/>
              <a:latin typeface="Century" panose="02040604050505020304" pitchFamily="18" charset="0"/>
              <a:ea typeface="ＭＳ Ｐ明朝" panose="02020600040205080304" pitchFamily="18" charset="-128"/>
              <a:cs typeface="Times New Roman" panose="02020603050405020304" pitchFamily="18" charset="0"/>
            </a:rPr>
            <a:t>L’</a:t>
          </a:r>
          <a:endParaRPr lang="ja-JP" sz="1050" kern="100">
            <a:effectLst/>
            <a:latin typeface="Century" panose="02040604050505020304" pitchFamily="18" charset="0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oneCellAnchor>
    <xdr:from>
      <xdr:col>6</xdr:col>
      <xdr:colOff>472108</xdr:colOff>
      <xdr:row>126</xdr:row>
      <xdr:rowOff>149088</xdr:rowOff>
    </xdr:from>
    <xdr:ext cx="2136913" cy="72887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438" name="テキスト ボックス 103437">
              <a:extLst>
                <a:ext uri="{FF2B5EF4-FFF2-40B4-BE49-F238E27FC236}">
                  <a16:creationId xmlns:a16="http://schemas.microsoft.com/office/drawing/2014/main" id="{6037DCEE-6FF5-4E56-B46F-B19CBDBC3313}"/>
                </a:ext>
              </a:extLst>
            </xdr:cNvPr>
            <xdr:cNvSpPr txBox="1"/>
          </xdr:nvSpPr>
          <xdr:spPr>
            <a:xfrm>
              <a:off x="3354456" y="24698740"/>
              <a:ext cx="2136913" cy="7288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𝐼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𝑏𝑒</m:t>
                            </m:r>
                          </m:sub>
                        </m:sSub>
                        <m:r>
                          <a:rPr kumimoji="1" lang="en-US" altLang="ja-JP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𝐴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𝑓</m:t>
                            </m:r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kumimoji="1" lang="ja-JP" altLang="en-US" sz="1100" i="1">
                        <a:latin typeface="Cambria Math" panose="02040503050406030204" pitchFamily="18" charset="0"/>
                      </a:rPr>
                      <m:t>≦</m:t>
                    </m:r>
                    <m:r>
                      <a:rPr kumimoji="1" lang="en-US" altLang="ja-JP" sz="1100" b="0" i="0">
                        <a:latin typeface="Cambria Math" panose="02040503050406030204" pitchFamily="18" charset="0"/>
                      </a:rPr>
                      <m:t>250  </m:t>
                    </m:r>
                    <m:r>
                      <m:rPr>
                        <m:sty m:val="p"/>
                      </m:rPr>
                      <a:rPr kumimoji="1" lang="en-US" altLang="ja-JP" sz="1100" b="0" i="0">
                        <a:latin typeface="Cambria Math" panose="02040503050406030204" pitchFamily="18" charset="0"/>
                      </a:rPr>
                      <m:t>and</m:t>
                    </m:r>
                    <m:r>
                      <a:rPr kumimoji="1" lang="en-US" altLang="ja-JP" sz="1100" b="0" i="0">
                        <a:latin typeface="Cambria Math" panose="02040503050406030204" pitchFamily="18" charset="0"/>
                      </a:rPr>
                      <m:t>  </m:t>
                    </m:r>
                    <m:f>
                      <m:fPr>
                        <m:ctrlPr>
                          <a:rPr kumimoji="1" lang="en-US" altLang="ja-JP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𝑏𝑒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𝑦𝑒</m:t>
                            </m:r>
                          </m:sub>
                        </m:sSub>
                      </m:den>
                    </m:f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≦</m:t>
                    </m:r>
                    <m:r>
                      <a:rPr kumimoji="1" lang="en-US" altLang="ja-JP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65</m:t>
                    </m:r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103438" name="テキスト ボックス 103437">
              <a:extLst>
                <a:ext uri="{FF2B5EF4-FFF2-40B4-BE49-F238E27FC236}">
                  <a16:creationId xmlns:a16="http://schemas.microsoft.com/office/drawing/2014/main" id="{6037DCEE-6FF5-4E56-B46F-B19CBDBC3313}"/>
                </a:ext>
              </a:extLst>
            </xdr:cNvPr>
            <xdr:cNvSpPr txBox="1"/>
          </xdr:nvSpPr>
          <xdr:spPr>
            <a:xfrm>
              <a:off x="3354456" y="24698740"/>
              <a:ext cx="2136913" cy="72887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100" i="0">
                  <a:latin typeface="Cambria Math" panose="02040503050406030204" pitchFamily="18" charset="0"/>
                </a:rPr>
                <a:t>(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𝐼_𝑏𝑒</a:t>
              </a:r>
              <a:r>
                <a:rPr kumimoji="1" lang="en-US" altLang="ja-JP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𝑑_𝑏)/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𝐴_𝑓1 </a:t>
              </a:r>
              <a:r>
                <a:rPr kumimoji="1" lang="ja-JP" altLang="en-US" sz="1100" i="0">
                  <a:latin typeface="Cambria Math" panose="02040503050406030204" pitchFamily="18" charset="0"/>
                </a:rPr>
                <a:t>≦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250  and  </a:t>
              </a:r>
              <a:r>
                <a:rPr kumimoji="1" lang="en-US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𝐼_𝑏𝑒/𝑖_𝑦𝑒 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≦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65</a:t>
              </a:r>
              <a:endParaRPr kumimoji="1" lang="ja-JP" altLang="en-US" sz="1100"/>
            </a:p>
          </xdr:txBody>
        </xdr:sp>
      </mc:Fallback>
    </mc:AlternateContent>
    <xdr:clientData/>
  </xdr:oneCellAnchor>
  <xdr:oneCellAnchor>
    <xdr:from>
      <xdr:col>7</xdr:col>
      <xdr:colOff>182218</xdr:colOff>
      <xdr:row>128</xdr:row>
      <xdr:rowOff>173936</xdr:rowOff>
    </xdr:from>
    <xdr:ext cx="1767022" cy="5432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439" name="テキスト ボックス 103438">
              <a:extLst>
                <a:ext uri="{FF2B5EF4-FFF2-40B4-BE49-F238E27FC236}">
                  <a16:creationId xmlns:a16="http://schemas.microsoft.com/office/drawing/2014/main" id="{D6DB6B44-4EB1-4813-A063-61E82F05BD57}"/>
                </a:ext>
              </a:extLst>
            </xdr:cNvPr>
            <xdr:cNvSpPr txBox="1"/>
          </xdr:nvSpPr>
          <xdr:spPr>
            <a:xfrm>
              <a:off x="3752022" y="25162566"/>
              <a:ext cx="1767022" cy="5432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𝐼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𝑏𝑐</m:t>
                            </m:r>
                          </m:sub>
                        </m:sSub>
                        <m:r>
                          <a:rPr kumimoji="1" lang="en-US" altLang="ja-JP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∙</m:t>
                        </m:r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𝑑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𝐴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𝑓</m:t>
                            </m:r>
                            <m:r>
                              <a:rPr kumimoji="1" lang="en-US" altLang="ja-JP" sz="1100" b="0" i="1">
                                <a:latin typeface="Cambria Math" panose="02040503050406030204" pitchFamily="18" charset="0"/>
                              </a:rPr>
                              <m:t>0</m:t>
                            </m:r>
                          </m:sub>
                        </m:sSub>
                      </m:den>
                    </m:f>
                    <m:r>
                      <a:rPr kumimoji="1" lang="ja-JP" altLang="en-US" sz="1100" i="1">
                        <a:latin typeface="Cambria Math" panose="02040503050406030204" pitchFamily="18" charset="0"/>
                      </a:rPr>
                      <m:t>≦</m:t>
                    </m:r>
                    <m:r>
                      <a:rPr kumimoji="1" lang="en-US" altLang="ja-JP" sz="1100" b="0" i="0">
                        <a:latin typeface="Cambria Math" panose="02040503050406030204" pitchFamily="18" charset="0"/>
                      </a:rPr>
                      <m:t>250  </m:t>
                    </m:r>
                    <m:r>
                      <m:rPr>
                        <m:sty m:val="p"/>
                      </m:rPr>
                      <a:rPr kumimoji="1" lang="en-US" altLang="ja-JP" sz="1100" b="0" i="0">
                        <a:latin typeface="Cambria Math" panose="02040503050406030204" pitchFamily="18" charset="0"/>
                      </a:rPr>
                      <m:t>and</m:t>
                    </m:r>
                    <m:r>
                      <a:rPr kumimoji="1" lang="en-US" altLang="ja-JP" sz="1100" b="0" i="0">
                        <a:latin typeface="Cambria Math" panose="02040503050406030204" pitchFamily="18" charset="0"/>
                      </a:rPr>
                      <m:t>  </m:t>
                    </m:r>
                    <m:f>
                      <m:fPr>
                        <m:ctrlPr>
                          <a:rPr kumimoji="1" lang="en-US" altLang="ja-JP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kumimoji="1" lang="en-US" altLang="ja-JP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𝐼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𝑏𝑐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kumimoji="1" lang="en-US" altLang="ja-JP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e>
                          <m:sub>
                            <m:r>
                              <a:rPr kumimoji="1" lang="en-US" altLang="ja-JP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𝑦𝑐</m:t>
                            </m:r>
                          </m:sub>
                        </m:sSub>
                      </m:den>
                    </m:f>
                    <m:r>
                      <a:rPr kumimoji="1" lang="ja-JP" altLang="ja-JP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≦</m:t>
                    </m:r>
                    <m:r>
                      <a:rPr kumimoji="1" lang="en-US" altLang="ja-JP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65</m:t>
                    </m:r>
                  </m:oMath>
                </m:oMathPara>
              </a14:m>
              <a:endParaRPr lang="ja-JP" altLang="ja-JP">
                <a:effectLst/>
              </a:endParaRPr>
            </a:p>
            <a:p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103439" name="テキスト ボックス 103438">
              <a:extLst>
                <a:ext uri="{FF2B5EF4-FFF2-40B4-BE49-F238E27FC236}">
                  <a16:creationId xmlns:a16="http://schemas.microsoft.com/office/drawing/2014/main" id="{D6DB6B44-4EB1-4813-A063-61E82F05BD57}"/>
                </a:ext>
              </a:extLst>
            </xdr:cNvPr>
            <xdr:cNvSpPr txBox="1"/>
          </xdr:nvSpPr>
          <xdr:spPr>
            <a:xfrm>
              <a:off x="3752022" y="25162566"/>
              <a:ext cx="1767022" cy="5432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1100" i="0">
                  <a:latin typeface="Cambria Math" panose="02040503050406030204" pitchFamily="18" charset="0"/>
                </a:rPr>
                <a:t>(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𝐼_𝑏𝑐</a:t>
              </a:r>
              <a:r>
                <a:rPr kumimoji="1" lang="en-US" altLang="ja-JP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</a:t>
              </a:r>
              <a:r>
                <a:rPr kumimoji="1" lang="en-US" altLang="ja-JP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𝑑_𝑏)/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𝐴_𝑓0 </a:t>
              </a:r>
              <a:r>
                <a:rPr kumimoji="1" lang="ja-JP" altLang="en-US" sz="1100" i="0">
                  <a:latin typeface="Cambria Math" panose="02040503050406030204" pitchFamily="18" charset="0"/>
                </a:rPr>
                <a:t>≦</a:t>
              </a:r>
              <a:r>
                <a:rPr kumimoji="1" lang="en-US" altLang="ja-JP" sz="1100" b="0" i="0">
                  <a:latin typeface="Cambria Math" panose="02040503050406030204" pitchFamily="18" charset="0"/>
                </a:rPr>
                <a:t>250  and  </a:t>
              </a:r>
              <a:r>
                <a:rPr kumimoji="1" lang="en-US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𝐼_𝑏𝑐/𝑖_𝑦𝑐 </a:t>
              </a:r>
              <a:r>
                <a:rPr kumimoji="1" lang="ja-JP" altLang="ja-JP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≦</a:t>
              </a:r>
              <a:r>
                <a:rPr kumimoji="1" lang="en-US" altLang="ja-JP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65</a:t>
              </a:r>
              <a:endParaRPr lang="ja-JP" altLang="ja-JP">
                <a:effectLst/>
              </a:endParaRPr>
            </a:p>
            <a:p>
              <a:pPr/>
              <a:endParaRPr kumimoji="1" lang="ja-JP" alt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495300</xdr:colOff>
      <xdr:row>0</xdr:row>
      <xdr:rowOff>56749</xdr:rowOff>
    </xdr:from>
    <xdr:to>
      <xdr:col>8</xdr:col>
      <xdr:colOff>600075</xdr:colOff>
      <xdr:row>7</xdr:row>
      <xdr:rowOff>169393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429C43A-A107-55D6-89DB-6FA0B657D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0075" y="56749"/>
          <a:ext cx="1476375" cy="1312794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3</xdr:row>
      <xdr:rowOff>38100</xdr:rowOff>
    </xdr:from>
    <xdr:to>
      <xdr:col>6</xdr:col>
      <xdr:colOff>229595</xdr:colOff>
      <xdr:row>12</xdr:row>
      <xdr:rowOff>28574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FE39580-706D-42DE-878A-9D42BCAF7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" y="552450"/>
          <a:ext cx="4125320" cy="1533524"/>
        </a:xfrm>
        <a:prstGeom prst="rect">
          <a:avLst/>
        </a:prstGeom>
      </xdr:spPr>
    </xdr:pic>
    <xdr:clientData/>
  </xdr:twoCellAnchor>
  <xdr:twoCellAnchor editAs="oneCell">
    <xdr:from>
      <xdr:col>6</xdr:col>
      <xdr:colOff>502538</xdr:colOff>
      <xdr:row>9</xdr:row>
      <xdr:rowOff>10885</xdr:rowOff>
    </xdr:from>
    <xdr:to>
      <xdr:col>9</xdr:col>
      <xdr:colOff>188213</xdr:colOff>
      <xdr:row>16</xdr:row>
      <xdr:rowOff>171449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39A6008-6598-4ADF-ADDD-024B0807C3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947" b="2880"/>
        <a:stretch/>
      </xdr:blipFill>
      <xdr:spPr>
        <a:xfrm>
          <a:off x="4415952" y="1578428"/>
          <a:ext cx="1743075" cy="137976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</xdr:row>
      <xdr:rowOff>161925</xdr:rowOff>
    </xdr:from>
    <xdr:to>
      <xdr:col>4</xdr:col>
      <xdr:colOff>66600</xdr:colOff>
      <xdr:row>27</xdr:row>
      <xdr:rowOff>83892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BDCC38A-5673-402E-B4A5-15DC320D64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5775" y="3248025"/>
          <a:ext cx="2124000" cy="14650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625385</xdr:colOff>
      <xdr:row>3</xdr:row>
      <xdr:rowOff>57151</xdr:rowOff>
    </xdr:from>
    <xdr:to>
      <xdr:col>9</xdr:col>
      <xdr:colOff>457201</xdr:colOff>
      <xdr:row>13</xdr:row>
      <xdr:rowOff>162538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1237FB1-8A5D-4F88-BA36-017C32EA2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40160" y="571501"/>
          <a:ext cx="1889216" cy="1819887"/>
        </a:xfrm>
        <a:prstGeom prst="rect">
          <a:avLst/>
        </a:prstGeom>
      </xdr:spPr>
    </xdr:pic>
    <xdr:clientData/>
  </xdr:twoCellAnchor>
  <xdr:twoCellAnchor editAs="oneCell">
    <xdr:from>
      <xdr:col>0</xdr:col>
      <xdr:colOff>367904</xdr:colOff>
      <xdr:row>5</xdr:row>
      <xdr:rowOff>14061</xdr:rowOff>
    </xdr:from>
    <xdr:to>
      <xdr:col>6</xdr:col>
      <xdr:colOff>266701</xdr:colOff>
      <xdr:row>13</xdr:row>
      <xdr:rowOff>95250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1448AF3-5500-49D5-9FE4-2D2F610D5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7904" y="871311"/>
          <a:ext cx="3813572" cy="1452789"/>
        </a:xfrm>
        <a:prstGeom prst="rect">
          <a:avLst/>
        </a:prstGeom>
      </xdr:spPr>
    </xdr:pic>
    <xdr:clientData/>
  </xdr:twoCellAnchor>
  <xdr:twoCellAnchor editAs="oneCell">
    <xdr:from>
      <xdr:col>0</xdr:col>
      <xdr:colOff>443752</xdr:colOff>
      <xdr:row>18</xdr:row>
      <xdr:rowOff>152406</xdr:rowOff>
    </xdr:from>
    <xdr:to>
      <xdr:col>4</xdr:col>
      <xdr:colOff>24577</xdr:colOff>
      <xdr:row>27</xdr:row>
      <xdr:rowOff>74373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ABBF712-88C4-A5F5-BA46-D3CD0B016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3752" y="3238506"/>
          <a:ext cx="2124000" cy="14650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628650</xdr:colOff>
      <xdr:row>0</xdr:row>
      <xdr:rowOff>38100</xdr:rowOff>
    </xdr:from>
    <xdr:to>
      <xdr:col>8</xdr:col>
      <xdr:colOff>562570</xdr:colOff>
      <xdr:row>7</xdr:row>
      <xdr:rowOff>152400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89D29E27-E0EA-98B4-0413-3CBC8A843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43425" y="38100"/>
          <a:ext cx="1305520" cy="131445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666750</xdr:colOff>
      <xdr:row>9</xdr:row>
      <xdr:rowOff>95252</xdr:rowOff>
    </xdr:from>
    <xdr:to>
      <xdr:col>8</xdr:col>
      <xdr:colOff>542925</xdr:colOff>
      <xdr:row>16</xdr:row>
      <xdr:rowOff>121638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E17AA46D-08B6-20D5-F6A6-2BC9C5F5D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81525" y="1638302"/>
          <a:ext cx="1247775" cy="1226536"/>
        </a:xfrm>
        <a:prstGeom prst="rect">
          <a:avLst/>
        </a:prstGeom>
      </xdr:spPr>
    </xdr:pic>
    <xdr:clientData/>
  </xdr:twoCellAnchor>
  <xdr:twoCellAnchor editAs="oneCell">
    <xdr:from>
      <xdr:col>0</xdr:col>
      <xdr:colOff>371475</xdr:colOff>
      <xdr:row>4</xdr:row>
      <xdr:rowOff>52178</xdr:rowOff>
    </xdr:from>
    <xdr:to>
      <xdr:col>6</xdr:col>
      <xdr:colOff>47625</xdr:colOff>
      <xdr:row>13</xdr:row>
      <xdr:rowOff>151861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C7066C6-25B5-4BE2-BB0E-0A3031447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1475" y="737978"/>
          <a:ext cx="3590925" cy="1642733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19</xdr:row>
      <xdr:rowOff>28575</xdr:rowOff>
    </xdr:from>
    <xdr:to>
      <xdr:col>4</xdr:col>
      <xdr:colOff>180900</xdr:colOff>
      <xdr:row>27</xdr:row>
      <xdr:rowOff>121992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FEF2B11-764E-469C-8214-BFBF5922A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0075" y="3286125"/>
          <a:ext cx="2124000" cy="14650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7.w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6.w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16E9E-177F-4F8B-84D7-FFFC9C8761BA}">
  <dimension ref="A1:M100"/>
  <sheetViews>
    <sheetView tabSelected="1" view="pageBreakPreview" zoomScaleNormal="100" zoomScaleSheetLayoutView="100" workbookViewId="0">
      <selection activeCell="J2" sqref="J2"/>
    </sheetView>
  </sheetViews>
  <sheetFormatPr defaultRowHeight="15"/>
  <cols>
    <col min="1" max="9" width="9" style="14"/>
  </cols>
  <sheetData>
    <row r="1" spans="1:13">
      <c r="A1" s="14" t="s">
        <v>151</v>
      </c>
      <c r="J1" t="s">
        <v>376</v>
      </c>
      <c r="L1" s="123">
        <v>45636</v>
      </c>
      <c r="M1" t="s">
        <v>377</v>
      </c>
    </row>
    <row r="2" spans="1:13">
      <c r="A2" s="118" t="s">
        <v>356</v>
      </c>
    </row>
    <row r="3" spans="1:13">
      <c r="A3" s="118" t="s">
        <v>152</v>
      </c>
    </row>
    <row r="4" spans="1:13">
      <c r="A4" s="118" t="s">
        <v>153</v>
      </c>
    </row>
    <row r="5" spans="1:13">
      <c r="A5" s="118" t="s">
        <v>154</v>
      </c>
    </row>
    <row r="6" spans="1:13">
      <c r="A6" s="118" t="s">
        <v>155</v>
      </c>
    </row>
    <row r="7" spans="1:13">
      <c r="A7" s="118" t="s">
        <v>156</v>
      </c>
    </row>
    <row r="8" spans="1:13">
      <c r="A8" s="118" t="s">
        <v>157</v>
      </c>
    </row>
    <row r="9" spans="1:13">
      <c r="A9" s="118" t="s">
        <v>156</v>
      </c>
    </row>
    <row r="10" spans="1:13">
      <c r="A10" s="118" t="s">
        <v>158</v>
      </c>
    </row>
    <row r="11" spans="1:13">
      <c r="A11" s="118" t="s">
        <v>352</v>
      </c>
    </row>
    <row r="12" spans="1:13">
      <c r="A12" s="118" t="s">
        <v>355</v>
      </c>
    </row>
    <row r="36" spans="1:4">
      <c r="D36" s="14" t="s">
        <v>160</v>
      </c>
    </row>
    <row r="39" spans="1:4">
      <c r="A39" s="118" t="s">
        <v>370</v>
      </c>
    </row>
    <row r="40" spans="1:4">
      <c r="A40" s="14" t="s">
        <v>159</v>
      </c>
    </row>
    <row r="52" spans="1:4">
      <c r="D52" s="14" t="s">
        <v>193</v>
      </c>
    </row>
    <row r="54" spans="1:4">
      <c r="A54" s="14" t="s">
        <v>353</v>
      </c>
    </row>
    <row r="80" spans="1:1">
      <c r="A80" s="14" t="s">
        <v>194</v>
      </c>
    </row>
    <row r="81" spans="1:8">
      <c r="H81" s="119" t="s">
        <v>195</v>
      </c>
    </row>
    <row r="96" spans="1:8">
      <c r="A96" s="14" t="s">
        <v>354</v>
      </c>
    </row>
    <row r="97" spans="2:2">
      <c r="B97" s="118" t="s">
        <v>357</v>
      </c>
    </row>
    <row r="98" spans="2:2">
      <c r="B98" s="118" t="s">
        <v>198</v>
      </c>
    </row>
    <row r="99" spans="2:2">
      <c r="B99" s="118" t="s">
        <v>197</v>
      </c>
    </row>
    <row r="100" spans="2:2">
      <c r="B100" s="118" t="s">
        <v>358</v>
      </c>
    </row>
  </sheetData>
  <phoneticPr fontId="3"/>
  <pageMargins left="0.7" right="0.7" top="0.75" bottom="0.75" header="0.3" footer="0.3"/>
  <pageSetup paperSize="9" scale="99" orientation="portrait" r:id="rId1"/>
  <rowBreaks count="2" manualBreakCount="2">
    <brk id="53" max="8" man="1"/>
    <brk id="95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AB09B-EE37-4063-BD8E-6EF48F9A5375}">
  <dimension ref="A1:L141"/>
  <sheetViews>
    <sheetView view="pageBreakPreview" zoomScale="115" zoomScaleNormal="100" zoomScaleSheetLayoutView="115" workbookViewId="0">
      <selection activeCell="F1" sqref="F1"/>
    </sheetView>
  </sheetViews>
  <sheetFormatPr defaultRowHeight="15" customHeight="1"/>
  <cols>
    <col min="1" max="3" width="3.625" style="1" customWidth="1"/>
    <col min="4" max="11" width="9" style="1"/>
    <col min="12" max="12" width="9.25" style="1" bestFit="1" customWidth="1"/>
    <col min="13" max="16384" width="9" style="1"/>
  </cols>
  <sheetData>
    <row r="1" spans="1:8" ht="15" customHeight="1">
      <c r="A1" s="1" t="s">
        <v>337</v>
      </c>
    </row>
    <row r="2" spans="1:8" ht="15" customHeight="1">
      <c r="B2" s="1" t="s">
        <v>199</v>
      </c>
    </row>
    <row r="3" spans="1:8" ht="15" customHeight="1">
      <c r="B3" s="1" t="s">
        <v>200</v>
      </c>
    </row>
    <row r="5" spans="1:8" ht="15" customHeight="1">
      <c r="B5" s="1" t="s">
        <v>359</v>
      </c>
    </row>
    <row r="6" spans="1:8" ht="15" customHeight="1">
      <c r="B6" s="1" t="s">
        <v>201</v>
      </c>
    </row>
    <row r="7" spans="1:8" ht="15" customHeight="1">
      <c r="B7" s="1" t="s">
        <v>202</v>
      </c>
    </row>
    <row r="8" spans="1:8" ht="15" customHeight="1">
      <c r="B8" s="1" t="s">
        <v>338</v>
      </c>
    </row>
    <row r="9" spans="1:8" ht="15" customHeight="1">
      <c r="B9" s="1" t="s">
        <v>334</v>
      </c>
    </row>
    <row r="10" spans="1:8" ht="15" customHeight="1">
      <c r="B10" s="1" t="s">
        <v>203</v>
      </c>
    </row>
    <row r="11" spans="1:8" ht="15" customHeight="1">
      <c r="B11" s="1" t="s">
        <v>204</v>
      </c>
    </row>
    <row r="12" spans="1:8" ht="15" customHeight="1">
      <c r="H12" s="101" t="s">
        <v>132</v>
      </c>
    </row>
    <row r="13" spans="1:8" ht="15" customHeight="1">
      <c r="H13" s="101" t="s">
        <v>133</v>
      </c>
    </row>
    <row r="14" spans="1:8" ht="15" customHeight="1">
      <c r="D14" s="1" t="s">
        <v>205</v>
      </c>
    </row>
    <row r="15" spans="1:8" ht="15" customHeight="1">
      <c r="D15" s="1" t="s">
        <v>206</v>
      </c>
    </row>
    <row r="16" spans="1:8" ht="15" customHeight="1">
      <c r="D16" s="1" t="s">
        <v>207</v>
      </c>
    </row>
    <row r="17" spans="4:12" ht="15" customHeight="1">
      <c r="D17" s="1" t="s">
        <v>335</v>
      </c>
    </row>
    <row r="18" spans="4:12" ht="15" customHeight="1">
      <c r="D18" s="1" t="s">
        <v>336</v>
      </c>
      <c r="J18" s="102"/>
    </row>
    <row r="19" spans="4:12" ht="15" customHeight="1">
      <c r="D19" s="1" t="s">
        <v>209</v>
      </c>
    </row>
    <row r="20" spans="4:12" ht="15" customHeight="1">
      <c r="D20" s="1" t="s">
        <v>208</v>
      </c>
    </row>
    <row r="21" spans="4:12" ht="15" customHeight="1">
      <c r="D21" s="1" t="s">
        <v>210</v>
      </c>
    </row>
    <row r="22" spans="4:12" ht="15" customHeight="1">
      <c r="D22" s="1" t="s">
        <v>211</v>
      </c>
      <c r="K22"/>
    </row>
    <row r="24" spans="4:12" ht="15" customHeight="1">
      <c r="H24" s="101" t="s">
        <v>134</v>
      </c>
    </row>
    <row r="25" spans="4:12" ht="15" customHeight="1">
      <c r="D25" s="1" t="s">
        <v>95</v>
      </c>
    </row>
    <row r="26" spans="4:12" ht="15" customHeight="1">
      <c r="D26" s="1" t="s">
        <v>212</v>
      </c>
    </row>
    <row r="27" spans="4:12" ht="15" customHeight="1">
      <c r="D27" s="1" t="s">
        <v>213</v>
      </c>
      <c r="L27" s="102"/>
    </row>
    <row r="28" spans="4:12" ht="15" customHeight="1">
      <c r="D28" s="1" t="s">
        <v>214</v>
      </c>
      <c r="L28"/>
    </row>
    <row r="36" spans="1:10" ht="15" customHeight="1">
      <c r="A36" s="1" t="s">
        <v>95</v>
      </c>
    </row>
    <row r="37" spans="1:10" ht="15" customHeight="1">
      <c r="A37" s="124" t="s">
        <v>215</v>
      </c>
      <c r="B37" s="124"/>
      <c r="C37" s="124"/>
      <c r="D37" s="124"/>
      <c r="E37" s="124"/>
      <c r="F37" s="124"/>
      <c r="G37" s="124"/>
      <c r="H37" s="124"/>
      <c r="I37" s="124"/>
      <c r="J37" s="124"/>
    </row>
    <row r="38" spans="1:10" ht="15" customHeight="1">
      <c r="A38" s="103"/>
      <c r="B38" s="103"/>
      <c r="C38" s="103"/>
      <c r="D38" s="103"/>
      <c r="E38"/>
      <c r="F38" s="103"/>
      <c r="G38" s="103"/>
      <c r="H38" s="103"/>
      <c r="I38" s="103"/>
      <c r="J38" s="103"/>
    </row>
    <row r="39" spans="1:10" ht="15" customHeight="1">
      <c r="A39" s="103"/>
      <c r="B39" s="103"/>
      <c r="C39" s="103"/>
      <c r="D39" s="103"/>
      <c r="E39" s="103"/>
      <c r="F39" s="103"/>
      <c r="G39" s="103"/>
      <c r="H39" s="103"/>
      <c r="I39" s="103"/>
      <c r="J39" s="103"/>
    </row>
    <row r="40" spans="1:10" ht="15" customHeight="1">
      <c r="A40" s="103"/>
      <c r="B40" s="103"/>
      <c r="C40" s="103"/>
      <c r="D40" s="103"/>
      <c r="E40" s="103"/>
      <c r="F40" s="103"/>
      <c r="G40" s="103"/>
      <c r="H40" s="103"/>
      <c r="I40" s="103"/>
      <c r="J40" s="103"/>
    </row>
    <row r="41" spans="1:10" ht="15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</row>
    <row r="42" spans="1:10" ht="15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</row>
    <row r="43" spans="1:10" ht="15" customHeight="1">
      <c r="A43" s="1" t="s">
        <v>119</v>
      </c>
    </row>
    <row r="45" spans="1:10" ht="15" customHeight="1">
      <c r="A45" s="124" t="s">
        <v>216</v>
      </c>
      <c r="B45" s="124"/>
      <c r="C45" s="124"/>
      <c r="D45" s="124"/>
      <c r="E45" s="124"/>
      <c r="F45" s="124"/>
      <c r="G45" s="124"/>
      <c r="H45" s="124"/>
      <c r="I45" s="124"/>
      <c r="J45" s="124"/>
    </row>
    <row r="46" spans="1:10" ht="15" customHeight="1">
      <c r="A46" s="103"/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ht="15" customHeight="1">
      <c r="B47" s="1" t="s">
        <v>339</v>
      </c>
    </row>
    <row r="48" spans="1:10" ht="15" customHeight="1">
      <c r="B48" s="1" t="s">
        <v>217</v>
      </c>
    </row>
    <row r="62" spans="2:6" ht="15" customHeight="1">
      <c r="F62" s="1" t="s">
        <v>144</v>
      </c>
    </row>
    <row r="63" spans="2:6" ht="18" customHeight="1">
      <c r="B63" s="104"/>
    </row>
    <row r="64" spans="2:6" ht="18" customHeight="1">
      <c r="D64" s="1" t="s">
        <v>218</v>
      </c>
    </row>
    <row r="65" spans="2:8" ht="18" customHeight="1"/>
    <row r="66" spans="2:8" ht="18" customHeight="1">
      <c r="B66" s="104"/>
    </row>
    <row r="67" spans="2:8" ht="15" customHeight="1">
      <c r="B67" s="1" t="s">
        <v>219</v>
      </c>
    </row>
    <row r="68" spans="2:8" ht="15" customHeight="1">
      <c r="B68" s="1" t="s">
        <v>220</v>
      </c>
    </row>
    <row r="70" spans="2:8" ht="15" customHeight="1">
      <c r="B70" s="1" t="s">
        <v>221</v>
      </c>
    </row>
    <row r="72" spans="2:8" ht="15" customHeight="1">
      <c r="B72" s="1" t="s">
        <v>222</v>
      </c>
    </row>
    <row r="73" spans="2:8" ht="15" customHeight="1">
      <c r="B73" s="1" t="s">
        <v>223</v>
      </c>
    </row>
    <row r="74" spans="2:8" ht="15" customHeight="1">
      <c r="C74" s="1" t="s">
        <v>95</v>
      </c>
      <c r="H74" s="101" t="s">
        <v>135</v>
      </c>
    </row>
    <row r="75" spans="2:8" ht="15" customHeight="1">
      <c r="D75" s="1" t="s">
        <v>224</v>
      </c>
    </row>
    <row r="76" spans="2:8" ht="15" customHeight="1">
      <c r="D76" s="1" t="s">
        <v>340</v>
      </c>
    </row>
    <row r="77" spans="2:8" ht="15" customHeight="1">
      <c r="D77" s="1" t="s">
        <v>225</v>
      </c>
    </row>
    <row r="78" spans="2:8" ht="15" customHeight="1">
      <c r="B78" s="1" t="s">
        <v>226</v>
      </c>
    </row>
    <row r="79" spans="2:8" ht="15" customHeight="1">
      <c r="B79" s="1" t="s">
        <v>341</v>
      </c>
    </row>
    <row r="80" spans="2:8" ht="15" customHeight="1">
      <c r="H80" s="125" t="s">
        <v>136</v>
      </c>
    </row>
    <row r="81" spans="1:11" ht="15" customHeight="1">
      <c r="H81" s="125"/>
    </row>
    <row r="82" spans="1:11" ht="15" customHeight="1">
      <c r="H82"/>
    </row>
    <row r="84" spans="1:11" ht="15" customHeight="1">
      <c r="A84" s="1" t="s">
        <v>95</v>
      </c>
    </row>
    <row r="85" spans="1:11" ht="15" customHeight="1">
      <c r="A85" s="1" t="s">
        <v>95</v>
      </c>
    </row>
    <row r="86" spans="1:11" ht="15" customHeight="1">
      <c r="A86" s="1" t="s">
        <v>95</v>
      </c>
      <c r="B86" s="1" t="s">
        <v>227</v>
      </c>
    </row>
    <row r="87" spans="1:11" ht="15" customHeight="1">
      <c r="D87" s="1" t="s">
        <v>228</v>
      </c>
    </row>
    <row r="88" spans="1:11" ht="15" customHeight="1">
      <c r="D88" s="1" t="s">
        <v>229</v>
      </c>
    </row>
    <row r="90" spans="1:11" ht="15" customHeight="1">
      <c r="B90" s="1" t="s">
        <v>230</v>
      </c>
    </row>
    <row r="91" spans="1:11" ht="15" customHeight="1">
      <c r="B91" s="1" t="s">
        <v>231</v>
      </c>
    </row>
    <row r="92" spans="1:11" ht="15" customHeight="1">
      <c r="B92" s="1" t="s">
        <v>232</v>
      </c>
      <c r="K92"/>
    </row>
    <row r="93" spans="1:11" ht="15" customHeight="1">
      <c r="B93" s="1" t="s">
        <v>233</v>
      </c>
    </row>
    <row r="94" spans="1:11" ht="15" customHeight="1">
      <c r="B94" s="1" t="s">
        <v>234</v>
      </c>
    </row>
    <row r="95" spans="1:11" ht="15" customHeight="1">
      <c r="D95" s="1" t="s">
        <v>235</v>
      </c>
    </row>
    <row r="96" spans="1:11" ht="15" customHeight="1">
      <c r="B96" s="1" t="s">
        <v>328</v>
      </c>
    </row>
    <row r="97" spans="2:10" ht="15" customHeight="1">
      <c r="B97" s="1" t="s">
        <v>329</v>
      </c>
    </row>
    <row r="98" spans="2:10" ht="15" customHeight="1">
      <c r="B98" s="1" t="s">
        <v>330</v>
      </c>
      <c r="J98"/>
    </row>
    <row r="99" spans="2:10" ht="15" customHeight="1">
      <c r="F99" s="1" t="s">
        <v>236</v>
      </c>
    </row>
    <row r="100" spans="2:10" ht="15" customHeight="1">
      <c r="F100" s="1" t="s">
        <v>237</v>
      </c>
    </row>
    <row r="101" spans="2:10" ht="15" customHeight="1">
      <c r="B101" s="1" t="s">
        <v>331</v>
      </c>
    </row>
    <row r="102" spans="2:10" ht="15" customHeight="1">
      <c r="B102" s="1" t="s">
        <v>332</v>
      </c>
    </row>
    <row r="103" spans="2:10" ht="15" customHeight="1">
      <c r="B103" s="1" t="s">
        <v>333</v>
      </c>
    </row>
    <row r="104" spans="2:10" ht="15" customHeight="1">
      <c r="F104" s="1" t="s">
        <v>236</v>
      </c>
    </row>
    <row r="105" spans="2:10" ht="15" customHeight="1">
      <c r="F105" s="1" t="s">
        <v>237</v>
      </c>
    </row>
    <row r="106" spans="2:10" ht="15" customHeight="1">
      <c r="C106" s="1" t="s">
        <v>360</v>
      </c>
    </row>
    <row r="107" spans="2:10" ht="15" customHeight="1">
      <c r="D107" s="1" t="s">
        <v>343</v>
      </c>
    </row>
    <row r="108" spans="2:10" ht="15" customHeight="1">
      <c r="D108" s="1" t="s">
        <v>342</v>
      </c>
    </row>
    <row r="109" spans="2:10" ht="15" customHeight="1">
      <c r="D109" s="1" t="s">
        <v>344</v>
      </c>
    </row>
    <row r="111" spans="2:10" ht="15" customHeight="1">
      <c r="D111" s="1" t="s">
        <v>345</v>
      </c>
    </row>
    <row r="113" spans="2:4" ht="15" customHeight="1">
      <c r="D113" s="1" t="s">
        <v>346</v>
      </c>
    </row>
    <row r="114" spans="2:4" ht="15" customHeight="1">
      <c r="D114" s="1" t="s">
        <v>238</v>
      </c>
    </row>
    <row r="115" spans="2:4" ht="15" customHeight="1">
      <c r="D115" s="1" t="s">
        <v>347</v>
      </c>
    </row>
    <row r="117" spans="2:4" ht="15" customHeight="1">
      <c r="B117" s="1" t="s">
        <v>239</v>
      </c>
    </row>
    <row r="118" spans="2:4" ht="15" customHeight="1">
      <c r="B118" s="1" t="s">
        <v>348</v>
      </c>
    </row>
    <row r="119" spans="2:4" ht="15" customHeight="1">
      <c r="B119" s="1" t="s">
        <v>349</v>
      </c>
    </row>
    <row r="120" spans="2:4" ht="15" customHeight="1">
      <c r="B120" s="1" t="s">
        <v>350</v>
      </c>
    </row>
    <row r="121" spans="2:4" ht="15" customHeight="1">
      <c r="B121" s="1" t="s">
        <v>361</v>
      </c>
    </row>
    <row r="122" spans="2:4" ht="15" customHeight="1">
      <c r="B122" s="1" t="s">
        <v>240</v>
      </c>
    </row>
    <row r="123" spans="2:4" ht="15" customHeight="1">
      <c r="B123" s="1" t="s">
        <v>241</v>
      </c>
    </row>
    <row r="124" spans="2:4" ht="15" customHeight="1">
      <c r="B124" s="1" t="s">
        <v>242</v>
      </c>
    </row>
    <row r="125" spans="2:4" ht="15" customHeight="1">
      <c r="B125" s="1" t="s">
        <v>243</v>
      </c>
    </row>
    <row r="126" spans="2:4" ht="15" customHeight="1">
      <c r="B126" s="1" t="s">
        <v>244</v>
      </c>
    </row>
    <row r="128" spans="2:4" ht="20.100000000000001" customHeight="1">
      <c r="C128" s="1" t="s">
        <v>362</v>
      </c>
    </row>
    <row r="130" spans="2:4" ht="20.100000000000001" customHeight="1">
      <c r="C130" s="1" t="s">
        <v>363</v>
      </c>
    </row>
    <row r="132" spans="2:4" ht="15" customHeight="1">
      <c r="B132" s="1" t="s">
        <v>245</v>
      </c>
    </row>
    <row r="134" spans="2:4" ht="20.100000000000001" customHeight="1">
      <c r="C134" s="1" t="s">
        <v>362</v>
      </c>
    </row>
    <row r="136" spans="2:4" ht="20.100000000000001" customHeight="1">
      <c r="C136" s="1" t="s">
        <v>363</v>
      </c>
    </row>
    <row r="138" spans="2:4" ht="15" customHeight="1">
      <c r="D138" s="1" t="s">
        <v>351</v>
      </c>
    </row>
    <row r="139" spans="2:4" ht="15" customHeight="1">
      <c r="D139" s="1" t="s">
        <v>246</v>
      </c>
    </row>
    <row r="140" spans="2:4" ht="15" customHeight="1">
      <c r="D140" s="1" t="s">
        <v>247</v>
      </c>
    </row>
    <row r="141" spans="2:4" ht="15" customHeight="1">
      <c r="D141" s="1" t="s">
        <v>248</v>
      </c>
    </row>
  </sheetData>
  <mergeCells count="3">
    <mergeCell ref="A37:J37"/>
    <mergeCell ref="A45:J45"/>
    <mergeCell ref="H80:H81"/>
  </mergeCells>
  <phoneticPr fontId="3"/>
  <pageMargins left="0.7" right="0.7" top="0.75" bottom="0.75" header="0.3" footer="0.3"/>
  <pageSetup paperSize="9" orientation="portrait" r:id="rId1"/>
  <rowBreaks count="2" manualBreakCount="2">
    <brk id="46" max="10" man="1"/>
    <brk id="91" max="10" man="1"/>
  </rowBreaks>
  <drawing r:id="rId2"/>
  <legacyDrawing r:id="rId3"/>
  <oleObjects>
    <mc:AlternateContent xmlns:mc="http://schemas.openxmlformats.org/markup-compatibility/2006">
      <mc:Choice Requires="x14">
        <oleObject progId="MSDraw.Drawing.8.2" shapeId="103426" r:id="rId4">
          <objectPr defaultSize="0" autoPict="0" r:id="rId5">
            <anchor moveWithCells="1" sizeWithCells="1">
              <from>
                <xdr:col>4</xdr:col>
                <xdr:colOff>247650</xdr:colOff>
                <xdr:row>38</xdr:row>
                <xdr:rowOff>0</xdr:rowOff>
              </from>
              <to>
                <xdr:col>7</xdr:col>
                <xdr:colOff>200025</xdr:colOff>
                <xdr:row>44</xdr:row>
                <xdr:rowOff>0</xdr:rowOff>
              </to>
            </anchor>
          </objectPr>
        </oleObject>
      </mc:Choice>
      <mc:Fallback>
        <oleObject progId="MSDraw.Drawing.8.2" shapeId="103426" r:id="rId4"/>
      </mc:Fallback>
    </mc:AlternateContent>
    <mc:AlternateContent xmlns:mc="http://schemas.openxmlformats.org/markup-compatibility/2006">
      <mc:Choice Requires="x14">
        <oleObject progId="MSDraw.Drawing.8.2" shapeId="103430" r:id="rId6">
          <objectPr defaultSize="0" autoPict="0" r:id="rId7">
            <anchor moveWithCells="1" sizeWithCells="1">
              <from>
                <xdr:col>2</xdr:col>
                <xdr:colOff>104775</xdr:colOff>
                <xdr:row>28</xdr:row>
                <xdr:rowOff>66675</xdr:rowOff>
              </from>
              <to>
                <xdr:col>8</xdr:col>
                <xdr:colOff>438150</xdr:colOff>
                <xdr:row>35</xdr:row>
                <xdr:rowOff>171450</xdr:rowOff>
              </to>
            </anchor>
          </objectPr>
        </oleObject>
      </mc:Choice>
      <mc:Fallback>
        <oleObject progId="MSDraw.Drawing.8.2" shapeId="10343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A1:S21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9" style="35" customWidth="1"/>
    <col min="2" max="18" width="7.125" customWidth="1"/>
    <col min="19" max="19" width="7.125" style="14" customWidth="1"/>
  </cols>
  <sheetData>
    <row r="1" spans="1:19">
      <c r="A1" s="36"/>
      <c r="B1" s="14" t="s">
        <v>22</v>
      </c>
      <c r="C1" s="14"/>
      <c r="D1" s="14"/>
      <c r="E1" s="14"/>
      <c r="F1" s="14"/>
      <c r="G1" s="14"/>
      <c r="H1" s="14"/>
      <c r="I1" s="15"/>
      <c r="J1" s="14"/>
      <c r="K1" s="14"/>
      <c r="L1" s="14"/>
      <c r="M1" s="14"/>
      <c r="N1" s="14"/>
      <c r="O1" s="14"/>
      <c r="P1" s="14"/>
      <c r="Q1" s="126"/>
      <c r="R1" s="126"/>
    </row>
    <row r="2" spans="1:19" ht="45">
      <c r="A2" s="109" t="s">
        <v>148</v>
      </c>
      <c r="B2" s="16" t="s">
        <v>23</v>
      </c>
      <c r="C2" s="16" t="s">
        <v>24</v>
      </c>
      <c r="D2" s="16" t="s">
        <v>25</v>
      </c>
      <c r="E2" s="16" t="s">
        <v>26</v>
      </c>
      <c r="F2" s="17" t="s">
        <v>27</v>
      </c>
      <c r="G2" s="17" t="s">
        <v>28</v>
      </c>
      <c r="H2" s="18" t="s">
        <v>29</v>
      </c>
      <c r="I2" s="17" t="s">
        <v>30</v>
      </c>
      <c r="J2" s="18" t="s">
        <v>31</v>
      </c>
      <c r="K2" s="18" t="s">
        <v>32</v>
      </c>
      <c r="L2" s="18" t="s">
        <v>21</v>
      </c>
      <c r="M2" s="19" t="s">
        <v>33</v>
      </c>
      <c r="N2" s="106" t="s">
        <v>34</v>
      </c>
      <c r="O2" s="107"/>
      <c r="P2" s="106" t="s">
        <v>35</v>
      </c>
      <c r="Q2" s="107"/>
      <c r="R2" s="16" t="s">
        <v>36</v>
      </c>
      <c r="S2" s="16" t="s">
        <v>192</v>
      </c>
    </row>
    <row r="3" spans="1:19">
      <c r="A3" s="110"/>
      <c r="B3" s="20" t="s">
        <v>37</v>
      </c>
      <c r="C3" s="20" t="s">
        <v>38</v>
      </c>
      <c r="D3" s="20" t="s">
        <v>39</v>
      </c>
      <c r="E3" s="20" t="s">
        <v>40</v>
      </c>
      <c r="F3" s="21"/>
      <c r="G3" s="21"/>
      <c r="H3" s="20" t="s">
        <v>41</v>
      </c>
      <c r="I3" s="21"/>
      <c r="J3" s="20" t="s">
        <v>42</v>
      </c>
      <c r="K3" s="20" t="s">
        <v>43</v>
      </c>
      <c r="L3" s="20" t="s">
        <v>44</v>
      </c>
      <c r="M3" s="20" t="s">
        <v>45</v>
      </c>
      <c r="N3" s="20" t="s">
        <v>46</v>
      </c>
      <c r="O3" s="20" t="s">
        <v>47</v>
      </c>
      <c r="P3" s="20" t="s">
        <v>48</v>
      </c>
      <c r="Q3" s="20" t="s">
        <v>49</v>
      </c>
      <c r="R3" s="20" t="s">
        <v>50</v>
      </c>
      <c r="S3" s="20" t="s">
        <v>51</v>
      </c>
    </row>
    <row r="4" spans="1:19">
      <c r="A4" s="108" t="s">
        <v>97</v>
      </c>
      <c r="B4" s="63">
        <v>600</v>
      </c>
      <c r="C4" s="63">
        <f t="shared" ref="C4:C20" si="0">D4-2*H4</f>
        <v>170</v>
      </c>
      <c r="D4" s="22">
        <v>300</v>
      </c>
      <c r="E4" s="63">
        <v>200</v>
      </c>
      <c r="F4" s="59">
        <v>180</v>
      </c>
      <c r="G4" s="59">
        <v>390</v>
      </c>
      <c r="H4" s="60">
        <v>65</v>
      </c>
      <c r="I4" s="64">
        <f t="shared" ref="I4:I20" si="1">ROUNDUP((4*H4^2+G4^2)/(8*H4),0)</f>
        <v>325</v>
      </c>
      <c r="J4" s="24">
        <f t="shared" ref="J4:J20" si="2">F4/D4</f>
        <v>0.6</v>
      </c>
      <c r="K4" s="24">
        <f t="shared" ref="K4:K20" si="3">G4/B4</f>
        <v>0.65</v>
      </c>
      <c r="L4" s="25">
        <f t="shared" ref="L4:L20" si="4">H4/D4</f>
        <v>0.21666666666666667</v>
      </c>
      <c r="M4" s="25">
        <f t="shared" ref="M4:M20" si="5">C4/E4</f>
        <v>0.85</v>
      </c>
      <c r="N4" s="23">
        <f t="shared" ref="N4:N20" si="6">1.2*D4</f>
        <v>360</v>
      </c>
      <c r="O4" s="23">
        <f t="shared" ref="O4:O20" si="7">0.1*N4</f>
        <v>36</v>
      </c>
      <c r="P4" s="23">
        <f t="shared" ref="P4:P20" si="8">2*D4/3</f>
        <v>200</v>
      </c>
      <c r="Q4" s="23">
        <f t="shared" ref="Q4:Q20" si="9">0.2*P4</f>
        <v>40</v>
      </c>
      <c r="R4" s="24">
        <f t="shared" ref="R4:R20" si="10">G4/(2*H4)</f>
        <v>3</v>
      </c>
      <c r="S4" s="26">
        <f t="shared" ref="S4" si="11">(D4-E4)/2</f>
        <v>50</v>
      </c>
    </row>
    <row r="5" spans="1:19">
      <c r="A5" s="108" t="s">
        <v>99</v>
      </c>
      <c r="B5" s="63">
        <v>500</v>
      </c>
      <c r="C5" s="63">
        <f>D5-2*H5</f>
        <v>110</v>
      </c>
      <c r="D5" s="22">
        <v>200</v>
      </c>
      <c r="E5" s="63">
        <v>200</v>
      </c>
      <c r="F5" s="59">
        <v>150</v>
      </c>
      <c r="G5" s="59">
        <v>380</v>
      </c>
      <c r="H5" s="60">
        <v>45</v>
      </c>
      <c r="I5" s="64">
        <f>ROUNDUP((4*H5^2+G5^2)/(8*H5),0)</f>
        <v>424</v>
      </c>
      <c r="J5" s="24">
        <f t="shared" ref="J5" si="12">F5/D5</f>
        <v>0.75</v>
      </c>
      <c r="K5" s="22">
        <f t="shared" ref="K5" si="13">G5/B5</f>
        <v>0.76</v>
      </c>
      <c r="L5" s="25">
        <f>H5/D5</f>
        <v>0.22500000000000001</v>
      </c>
      <c r="M5" s="25">
        <f>C5/E5</f>
        <v>0.55000000000000004</v>
      </c>
      <c r="N5" s="23">
        <f t="shared" ref="N5" si="14">1.2*D5</f>
        <v>240</v>
      </c>
      <c r="O5" s="23">
        <f t="shared" ref="O5" si="15">0.1*N5</f>
        <v>24</v>
      </c>
      <c r="P5" s="23">
        <f t="shared" ref="P5" si="16">2*D5/3</f>
        <v>133.33333333333334</v>
      </c>
      <c r="Q5" s="23">
        <f t="shared" ref="Q5" si="17">0.2*P5</f>
        <v>26.666666666666671</v>
      </c>
      <c r="R5" s="24">
        <f t="shared" ref="R5" si="18">G5/(2*H5)</f>
        <v>4.2222222222222223</v>
      </c>
      <c r="S5" s="26">
        <v>0</v>
      </c>
    </row>
    <row r="6" spans="1:19">
      <c r="A6" s="108" t="s">
        <v>98</v>
      </c>
      <c r="B6" s="63">
        <v>500</v>
      </c>
      <c r="C6" s="63">
        <f t="shared" si="0"/>
        <v>170</v>
      </c>
      <c r="D6" s="22">
        <v>300</v>
      </c>
      <c r="E6" s="63">
        <v>200</v>
      </c>
      <c r="F6" s="59">
        <v>150</v>
      </c>
      <c r="G6" s="59">
        <v>380</v>
      </c>
      <c r="H6" s="60">
        <f>S6+15</f>
        <v>65</v>
      </c>
      <c r="I6" s="64">
        <f t="shared" si="1"/>
        <v>311</v>
      </c>
      <c r="J6" s="24">
        <f t="shared" si="2"/>
        <v>0.5</v>
      </c>
      <c r="K6" s="22">
        <f t="shared" si="3"/>
        <v>0.76</v>
      </c>
      <c r="L6" s="25">
        <f t="shared" si="4"/>
        <v>0.21666666666666667</v>
      </c>
      <c r="M6" s="25">
        <f t="shared" si="5"/>
        <v>0.85</v>
      </c>
      <c r="N6" s="23">
        <f t="shared" si="6"/>
        <v>360</v>
      </c>
      <c r="O6" s="23">
        <f t="shared" si="7"/>
        <v>36</v>
      </c>
      <c r="P6" s="23">
        <f t="shared" si="8"/>
        <v>200</v>
      </c>
      <c r="Q6" s="23">
        <f t="shared" si="9"/>
        <v>40</v>
      </c>
      <c r="R6" s="24">
        <f t="shared" si="10"/>
        <v>2.9230769230769229</v>
      </c>
      <c r="S6" s="26">
        <f>(D6-E6)/2</f>
        <v>50</v>
      </c>
    </row>
    <row r="7" spans="1:19">
      <c r="A7" s="108" t="s">
        <v>100</v>
      </c>
      <c r="B7" s="63">
        <v>450</v>
      </c>
      <c r="C7" s="63">
        <f t="shared" si="0"/>
        <v>170</v>
      </c>
      <c r="D7" s="22">
        <v>300</v>
      </c>
      <c r="E7" s="63">
        <v>200</v>
      </c>
      <c r="F7" s="59">
        <v>150</v>
      </c>
      <c r="G7" s="59">
        <v>380</v>
      </c>
      <c r="H7" s="60">
        <v>65</v>
      </c>
      <c r="I7" s="64">
        <f t="shared" si="1"/>
        <v>311</v>
      </c>
      <c r="J7" s="24">
        <f t="shared" si="2"/>
        <v>0.5</v>
      </c>
      <c r="K7" s="24">
        <f t="shared" si="3"/>
        <v>0.84444444444444444</v>
      </c>
      <c r="L7" s="25">
        <f t="shared" si="4"/>
        <v>0.21666666666666667</v>
      </c>
      <c r="M7" s="25">
        <f t="shared" si="5"/>
        <v>0.85</v>
      </c>
      <c r="N7" s="23">
        <f t="shared" si="6"/>
        <v>360</v>
      </c>
      <c r="O7" s="23">
        <f t="shared" si="7"/>
        <v>36</v>
      </c>
      <c r="P7" s="23">
        <f t="shared" si="8"/>
        <v>200</v>
      </c>
      <c r="Q7" s="23">
        <f t="shared" si="9"/>
        <v>40</v>
      </c>
      <c r="R7" s="24">
        <f t="shared" si="10"/>
        <v>2.9230769230769229</v>
      </c>
      <c r="S7" s="26">
        <f t="shared" ref="S7:S20" si="19">(D7-E7)/2</f>
        <v>50</v>
      </c>
    </row>
    <row r="8" spans="1:19">
      <c r="A8" s="108" t="s">
        <v>101</v>
      </c>
      <c r="B8" s="63">
        <v>400</v>
      </c>
      <c r="C8" s="63">
        <v>170</v>
      </c>
      <c r="D8" s="22">
        <v>300</v>
      </c>
      <c r="E8" s="63">
        <v>200</v>
      </c>
      <c r="F8" s="59">
        <v>150</v>
      </c>
      <c r="G8" s="59">
        <v>340</v>
      </c>
      <c r="H8" s="60">
        <v>65</v>
      </c>
      <c r="I8" s="64">
        <f t="shared" si="1"/>
        <v>255</v>
      </c>
      <c r="J8" s="24">
        <f t="shared" si="2"/>
        <v>0.5</v>
      </c>
      <c r="K8" s="24">
        <f t="shared" si="3"/>
        <v>0.85</v>
      </c>
      <c r="L8" s="25">
        <f t="shared" si="4"/>
        <v>0.21666666666666667</v>
      </c>
      <c r="M8" s="25">
        <f t="shared" si="5"/>
        <v>0.85</v>
      </c>
      <c r="N8" s="23">
        <f t="shared" si="6"/>
        <v>360</v>
      </c>
      <c r="O8" s="23">
        <f t="shared" si="7"/>
        <v>36</v>
      </c>
      <c r="P8" s="23">
        <f t="shared" si="8"/>
        <v>200</v>
      </c>
      <c r="Q8" s="23">
        <f t="shared" si="9"/>
        <v>40</v>
      </c>
      <c r="R8" s="24">
        <f t="shared" si="10"/>
        <v>2.6153846153846154</v>
      </c>
      <c r="S8" s="26">
        <f t="shared" si="19"/>
        <v>50</v>
      </c>
    </row>
    <row r="9" spans="1:19">
      <c r="A9" s="108" t="s">
        <v>102</v>
      </c>
      <c r="B9" s="63">
        <v>300</v>
      </c>
      <c r="C9" s="63">
        <f t="shared" si="0"/>
        <v>126</v>
      </c>
      <c r="D9" s="22">
        <f>E9+32*2</f>
        <v>214</v>
      </c>
      <c r="E9" s="63">
        <v>150</v>
      </c>
      <c r="F9" s="59">
        <v>120</v>
      </c>
      <c r="G9" s="59">
        <v>250</v>
      </c>
      <c r="H9" s="60">
        <v>44</v>
      </c>
      <c r="I9" s="64">
        <f t="shared" si="1"/>
        <v>200</v>
      </c>
      <c r="J9" s="24">
        <f t="shared" si="2"/>
        <v>0.56074766355140182</v>
      </c>
      <c r="K9" s="24">
        <f t="shared" si="3"/>
        <v>0.83333333333333337</v>
      </c>
      <c r="L9" s="25">
        <f t="shared" si="4"/>
        <v>0.20560747663551401</v>
      </c>
      <c r="M9" s="25">
        <f t="shared" si="5"/>
        <v>0.84</v>
      </c>
      <c r="N9" s="23">
        <f t="shared" si="6"/>
        <v>256.8</v>
      </c>
      <c r="O9" s="23">
        <f t="shared" si="7"/>
        <v>25.680000000000003</v>
      </c>
      <c r="P9" s="23">
        <f t="shared" si="8"/>
        <v>142.66666666666666</v>
      </c>
      <c r="Q9" s="23">
        <f t="shared" si="9"/>
        <v>28.533333333333331</v>
      </c>
      <c r="R9" s="24">
        <f t="shared" si="10"/>
        <v>2.8409090909090908</v>
      </c>
      <c r="S9" s="26">
        <f t="shared" si="19"/>
        <v>32</v>
      </c>
    </row>
    <row r="10" spans="1:19">
      <c r="A10" s="108" t="s">
        <v>103</v>
      </c>
      <c r="B10" s="63">
        <v>250</v>
      </c>
      <c r="C10" s="63">
        <f t="shared" si="0"/>
        <v>105</v>
      </c>
      <c r="D10" s="22">
        <f>E10+25*2</f>
        <v>175</v>
      </c>
      <c r="E10" s="63">
        <v>125</v>
      </c>
      <c r="F10" s="59">
        <v>110</v>
      </c>
      <c r="G10" s="59">
        <v>200</v>
      </c>
      <c r="H10" s="60">
        <f>10+25</f>
        <v>35</v>
      </c>
      <c r="I10" s="64">
        <f t="shared" si="1"/>
        <v>161</v>
      </c>
      <c r="J10" s="24">
        <f t="shared" si="2"/>
        <v>0.62857142857142856</v>
      </c>
      <c r="K10" s="24">
        <f t="shared" si="3"/>
        <v>0.8</v>
      </c>
      <c r="L10" s="25">
        <f t="shared" si="4"/>
        <v>0.2</v>
      </c>
      <c r="M10" s="25">
        <f t="shared" si="5"/>
        <v>0.84</v>
      </c>
      <c r="N10" s="23">
        <f t="shared" si="6"/>
        <v>210</v>
      </c>
      <c r="O10" s="23">
        <f t="shared" si="7"/>
        <v>21</v>
      </c>
      <c r="P10" s="23">
        <f t="shared" si="8"/>
        <v>116.66666666666667</v>
      </c>
      <c r="Q10" s="23">
        <f t="shared" si="9"/>
        <v>23.333333333333336</v>
      </c>
      <c r="R10" s="24">
        <f t="shared" si="10"/>
        <v>2.8571428571428572</v>
      </c>
      <c r="S10" s="26">
        <f t="shared" si="19"/>
        <v>25</v>
      </c>
    </row>
    <row r="11" spans="1:19">
      <c r="A11" s="108" t="s">
        <v>104</v>
      </c>
      <c r="B11" s="63">
        <v>200</v>
      </c>
      <c r="C11" s="63">
        <f t="shared" si="0"/>
        <v>84</v>
      </c>
      <c r="D11" s="22">
        <f>E11+25*2</f>
        <v>150</v>
      </c>
      <c r="E11" s="63">
        <v>100</v>
      </c>
      <c r="F11" s="59">
        <v>100</v>
      </c>
      <c r="G11" s="59">
        <v>170</v>
      </c>
      <c r="H11" s="60">
        <f>8+25</f>
        <v>33</v>
      </c>
      <c r="I11" s="64">
        <f t="shared" si="1"/>
        <v>126</v>
      </c>
      <c r="J11" s="24">
        <f t="shared" si="2"/>
        <v>0.66666666666666663</v>
      </c>
      <c r="K11" s="24">
        <f t="shared" si="3"/>
        <v>0.85</v>
      </c>
      <c r="L11" s="25">
        <f t="shared" si="4"/>
        <v>0.22</v>
      </c>
      <c r="M11" s="25">
        <f t="shared" si="5"/>
        <v>0.84</v>
      </c>
      <c r="N11" s="23">
        <f t="shared" si="6"/>
        <v>180</v>
      </c>
      <c r="O11" s="23">
        <f t="shared" si="7"/>
        <v>18</v>
      </c>
      <c r="P11" s="23">
        <f t="shared" si="8"/>
        <v>100</v>
      </c>
      <c r="Q11" s="23">
        <f t="shared" si="9"/>
        <v>20</v>
      </c>
      <c r="R11" s="24">
        <f t="shared" si="10"/>
        <v>2.5757575757575757</v>
      </c>
      <c r="S11" s="26">
        <f t="shared" si="19"/>
        <v>25</v>
      </c>
    </row>
    <row r="12" spans="1:19">
      <c r="A12" s="108" t="s">
        <v>105</v>
      </c>
      <c r="B12" s="63">
        <v>900</v>
      </c>
      <c r="C12" s="63">
        <f>D12-2*H12</f>
        <v>240</v>
      </c>
      <c r="D12" s="22">
        <v>450</v>
      </c>
      <c r="E12" s="63">
        <v>300</v>
      </c>
      <c r="F12" s="59">
        <v>240</v>
      </c>
      <c r="G12" s="59">
        <v>610</v>
      </c>
      <c r="H12" s="60">
        <v>105</v>
      </c>
      <c r="I12" s="64">
        <f>ROUNDUP((4*H12^2+G12^2)/(8*H12),0)</f>
        <v>496</v>
      </c>
      <c r="J12" s="24">
        <f>F12/D12</f>
        <v>0.53333333333333333</v>
      </c>
      <c r="K12" s="24">
        <f>G12/B12</f>
        <v>0.67777777777777781</v>
      </c>
      <c r="L12" s="25">
        <f>H12/D12</f>
        <v>0.23333333333333334</v>
      </c>
      <c r="M12" s="25">
        <f>C12/E12</f>
        <v>0.8</v>
      </c>
      <c r="N12" s="23">
        <f>1.2*D12</f>
        <v>540</v>
      </c>
      <c r="O12" s="23">
        <f t="shared" si="7"/>
        <v>54</v>
      </c>
      <c r="P12" s="23">
        <f>2*D12/3</f>
        <v>300</v>
      </c>
      <c r="Q12" s="23">
        <f t="shared" si="9"/>
        <v>60</v>
      </c>
      <c r="R12" s="24">
        <f t="shared" si="10"/>
        <v>2.9047619047619047</v>
      </c>
      <c r="S12" s="26">
        <f t="shared" si="19"/>
        <v>75</v>
      </c>
    </row>
    <row r="13" spans="1:19">
      <c r="A13" s="108" t="s">
        <v>106</v>
      </c>
      <c r="B13" s="63">
        <v>800</v>
      </c>
      <c r="C13" s="63">
        <f t="shared" si="0"/>
        <v>240</v>
      </c>
      <c r="D13" s="22">
        <v>450</v>
      </c>
      <c r="E13" s="63">
        <v>300</v>
      </c>
      <c r="F13" s="59">
        <v>240</v>
      </c>
      <c r="G13" s="59">
        <v>600</v>
      </c>
      <c r="H13" s="60">
        <v>105</v>
      </c>
      <c r="I13" s="64">
        <f t="shared" si="1"/>
        <v>482</v>
      </c>
      <c r="J13" s="24">
        <f t="shared" si="2"/>
        <v>0.53333333333333333</v>
      </c>
      <c r="K13" s="24">
        <f t="shared" si="3"/>
        <v>0.75</v>
      </c>
      <c r="L13" s="25">
        <f t="shared" si="4"/>
        <v>0.23333333333333334</v>
      </c>
      <c r="M13" s="25">
        <f t="shared" si="5"/>
        <v>0.8</v>
      </c>
      <c r="N13" s="23">
        <f t="shared" si="6"/>
        <v>540</v>
      </c>
      <c r="O13" s="23">
        <f t="shared" si="7"/>
        <v>54</v>
      </c>
      <c r="P13" s="23">
        <f t="shared" si="8"/>
        <v>300</v>
      </c>
      <c r="Q13" s="23">
        <f t="shared" si="9"/>
        <v>60</v>
      </c>
      <c r="R13" s="24">
        <f t="shared" si="10"/>
        <v>2.8571428571428572</v>
      </c>
      <c r="S13" s="26">
        <f t="shared" si="19"/>
        <v>75</v>
      </c>
    </row>
    <row r="14" spans="1:19">
      <c r="A14" s="108" t="s">
        <v>107</v>
      </c>
      <c r="B14" s="63">
        <v>700</v>
      </c>
      <c r="C14" s="63">
        <f>D14-2*H14</f>
        <v>240</v>
      </c>
      <c r="D14" s="22">
        <v>450</v>
      </c>
      <c r="E14" s="63">
        <v>300</v>
      </c>
      <c r="F14" s="59">
        <v>230</v>
      </c>
      <c r="G14" s="59">
        <v>590</v>
      </c>
      <c r="H14" s="60">
        <v>105</v>
      </c>
      <c r="I14" s="64">
        <f>ROUNDUP((4*H14^2+G14^2)/(8*H14),0)</f>
        <v>467</v>
      </c>
      <c r="J14" s="24">
        <f>F14/D14</f>
        <v>0.51111111111111107</v>
      </c>
      <c r="K14" s="24">
        <f>G14/B14</f>
        <v>0.84285714285714286</v>
      </c>
      <c r="L14" s="25">
        <f>H14/D14</f>
        <v>0.23333333333333334</v>
      </c>
      <c r="M14" s="25">
        <f>C14/E14</f>
        <v>0.8</v>
      </c>
      <c r="N14" s="23">
        <f>1.2*D14</f>
        <v>540</v>
      </c>
      <c r="O14" s="23">
        <f t="shared" si="7"/>
        <v>54</v>
      </c>
      <c r="P14" s="23">
        <f>2*D14/3</f>
        <v>300</v>
      </c>
      <c r="Q14" s="23">
        <f t="shared" si="9"/>
        <v>60</v>
      </c>
      <c r="R14" s="24">
        <f t="shared" si="10"/>
        <v>2.8095238095238093</v>
      </c>
      <c r="S14" s="26">
        <f t="shared" si="19"/>
        <v>75</v>
      </c>
    </row>
    <row r="15" spans="1:19">
      <c r="A15" s="108" t="s">
        <v>108</v>
      </c>
      <c r="B15" s="63">
        <v>588</v>
      </c>
      <c r="C15" s="63">
        <f>D15-2*H15</f>
        <v>230</v>
      </c>
      <c r="D15" s="22">
        <v>400</v>
      </c>
      <c r="E15" s="63">
        <v>300</v>
      </c>
      <c r="F15" s="59">
        <v>210</v>
      </c>
      <c r="G15" s="59">
        <v>480</v>
      </c>
      <c r="H15" s="60">
        <v>85</v>
      </c>
      <c r="I15" s="64">
        <f>ROUNDUP((4*H15^2+G15^2)/(8*H15),0)</f>
        <v>382</v>
      </c>
      <c r="J15" s="24">
        <f>F15/D15</f>
        <v>0.52500000000000002</v>
      </c>
      <c r="K15" s="24">
        <f>G15/B15</f>
        <v>0.81632653061224492</v>
      </c>
      <c r="L15" s="25">
        <f>H15/D15</f>
        <v>0.21249999999999999</v>
      </c>
      <c r="M15" s="25">
        <f>C15/E15</f>
        <v>0.76666666666666672</v>
      </c>
      <c r="N15" s="23">
        <f t="shared" si="6"/>
        <v>480</v>
      </c>
      <c r="O15" s="23">
        <f t="shared" si="7"/>
        <v>48</v>
      </c>
      <c r="P15" s="23">
        <f>2*D15/3</f>
        <v>266.66666666666669</v>
      </c>
      <c r="Q15" s="23">
        <f t="shared" si="9"/>
        <v>53.333333333333343</v>
      </c>
      <c r="R15" s="24">
        <f t="shared" si="10"/>
        <v>2.8235294117647061</v>
      </c>
      <c r="S15" s="26">
        <f t="shared" si="19"/>
        <v>50</v>
      </c>
    </row>
    <row r="16" spans="1:19">
      <c r="A16" s="108" t="s">
        <v>109</v>
      </c>
      <c r="B16" s="63">
        <v>488</v>
      </c>
      <c r="C16" s="63">
        <f t="shared" si="0"/>
        <v>230</v>
      </c>
      <c r="D16" s="22">
        <v>400</v>
      </c>
      <c r="E16" s="63">
        <v>300</v>
      </c>
      <c r="F16" s="59">
        <v>200</v>
      </c>
      <c r="G16" s="59">
        <v>410</v>
      </c>
      <c r="H16" s="60">
        <v>85</v>
      </c>
      <c r="I16" s="64">
        <f t="shared" si="1"/>
        <v>290</v>
      </c>
      <c r="J16" s="24">
        <f t="shared" si="2"/>
        <v>0.5</v>
      </c>
      <c r="K16" s="24">
        <f t="shared" si="3"/>
        <v>0.8401639344262295</v>
      </c>
      <c r="L16" s="25">
        <f t="shared" si="4"/>
        <v>0.21249999999999999</v>
      </c>
      <c r="M16" s="25">
        <f t="shared" si="5"/>
        <v>0.76666666666666672</v>
      </c>
      <c r="N16" s="23">
        <f t="shared" si="6"/>
        <v>480</v>
      </c>
      <c r="O16" s="23">
        <f t="shared" si="7"/>
        <v>48</v>
      </c>
      <c r="P16" s="23">
        <f t="shared" si="8"/>
        <v>266.66666666666669</v>
      </c>
      <c r="Q16" s="23">
        <f t="shared" si="9"/>
        <v>53.333333333333343</v>
      </c>
      <c r="R16" s="24">
        <f t="shared" si="10"/>
        <v>2.4117647058823528</v>
      </c>
      <c r="S16" s="26">
        <f t="shared" si="19"/>
        <v>50</v>
      </c>
    </row>
    <row r="17" spans="1:19">
      <c r="A17" s="108" t="s">
        <v>110</v>
      </c>
      <c r="B17" s="63">
        <v>440</v>
      </c>
      <c r="C17" s="63">
        <f t="shared" si="0"/>
        <v>230</v>
      </c>
      <c r="D17" s="22">
        <v>400</v>
      </c>
      <c r="E17" s="63">
        <v>300</v>
      </c>
      <c r="F17" s="59">
        <v>200</v>
      </c>
      <c r="G17" s="59">
        <v>370</v>
      </c>
      <c r="H17" s="60">
        <v>85</v>
      </c>
      <c r="I17" s="64">
        <f t="shared" si="1"/>
        <v>244</v>
      </c>
      <c r="J17" s="24">
        <f t="shared" si="2"/>
        <v>0.5</v>
      </c>
      <c r="K17" s="24">
        <f t="shared" si="3"/>
        <v>0.84090909090909094</v>
      </c>
      <c r="L17" s="25">
        <f t="shared" si="4"/>
        <v>0.21249999999999999</v>
      </c>
      <c r="M17" s="25">
        <f t="shared" si="5"/>
        <v>0.76666666666666672</v>
      </c>
      <c r="N17" s="23">
        <f t="shared" si="6"/>
        <v>480</v>
      </c>
      <c r="O17" s="23">
        <f t="shared" si="7"/>
        <v>48</v>
      </c>
      <c r="P17" s="23">
        <f t="shared" si="8"/>
        <v>266.66666666666669</v>
      </c>
      <c r="Q17" s="23">
        <f t="shared" si="9"/>
        <v>53.333333333333343</v>
      </c>
      <c r="R17" s="24">
        <f t="shared" si="10"/>
        <v>2.1764705882352939</v>
      </c>
      <c r="S17" s="26">
        <f t="shared" si="19"/>
        <v>50</v>
      </c>
    </row>
    <row r="18" spans="1:19">
      <c r="A18" s="108" t="s">
        <v>111</v>
      </c>
      <c r="B18" s="63">
        <v>390</v>
      </c>
      <c r="C18" s="63">
        <f t="shared" si="0"/>
        <v>230</v>
      </c>
      <c r="D18" s="22">
        <f>E18+2*44</f>
        <v>388</v>
      </c>
      <c r="E18" s="63">
        <v>300</v>
      </c>
      <c r="F18" s="59">
        <v>200</v>
      </c>
      <c r="G18" s="59">
        <v>330</v>
      </c>
      <c r="H18" s="60">
        <f>35+44</f>
        <v>79</v>
      </c>
      <c r="I18" s="64">
        <f t="shared" si="1"/>
        <v>212</v>
      </c>
      <c r="J18" s="24">
        <f t="shared" si="2"/>
        <v>0.51546391752577314</v>
      </c>
      <c r="K18" s="24">
        <f t="shared" si="3"/>
        <v>0.84615384615384615</v>
      </c>
      <c r="L18" s="25">
        <f t="shared" si="4"/>
        <v>0.20360824742268041</v>
      </c>
      <c r="M18" s="25">
        <f t="shared" si="5"/>
        <v>0.76666666666666672</v>
      </c>
      <c r="N18" s="23">
        <f t="shared" si="6"/>
        <v>465.59999999999997</v>
      </c>
      <c r="O18" s="23">
        <f t="shared" si="7"/>
        <v>46.56</v>
      </c>
      <c r="P18" s="23">
        <f t="shared" si="8"/>
        <v>258.66666666666669</v>
      </c>
      <c r="Q18" s="23">
        <f t="shared" si="9"/>
        <v>51.733333333333341</v>
      </c>
      <c r="R18" s="24">
        <f t="shared" si="10"/>
        <v>2.0886075949367089</v>
      </c>
      <c r="S18" s="26">
        <f t="shared" si="19"/>
        <v>44</v>
      </c>
    </row>
    <row r="19" spans="1:19">
      <c r="A19" s="108" t="s">
        <v>112</v>
      </c>
      <c r="B19" s="63">
        <v>340</v>
      </c>
      <c r="C19" s="63">
        <f t="shared" si="0"/>
        <v>180</v>
      </c>
      <c r="D19" s="22">
        <f>E19+2*38</f>
        <v>326</v>
      </c>
      <c r="E19" s="63">
        <v>250</v>
      </c>
      <c r="F19" s="59">
        <v>180</v>
      </c>
      <c r="G19" s="59">
        <v>280</v>
      </c>
      <c r="H19" s="60">
        <f>35+38</f>
        <v>73</v>
      </c>
      <c r="I19" s="64">
        <f t="shared" si="1"/>
        <v>171</v>
      </c>
      <c r="J19" s="24">
        <f t="shared" si="2"/>
        <v>0.55214723926380371</v>
      </c>
      <c r="K19" s="24">
        <f t="shared" si="3"/>
        <v>0.82352941176470584</v>
      </c>
      <c r="L19" s="25">
        <f t="shared" si="4"/>
        <v>0.22392638036809817</v>
      </c>
      <c r="M19" s="25">
        <f t="shared" si="5"/>
        <v>0.72</v>
      </c>
      <c r="N19" s="23">
        <f t="shared" si="6"/>
        <v>391.2</v>
      </c>
      <c r="O19" s="23">
        <f t="shared" si="7"/>
        <v>39.120000000000005</v>
      </c>
      <c r="P19" s="23">
        <f t="shared" si="8"/>
        <v>217.33333333333334</v>
      </c>
      <c r="Q19" s="23">
        <f t="shared" si="9"/>
        <v>43.466666666666669</v>
      </c>
      <c r="R19" s="24">
        <f t="shared" si="10"/>
        <v>1.9178082191780821</v>
      </c>
      <c r="S19" s="26">
        <f t="shared" si="19"/>
        <v>38</v>
      </c>
    </row>
    <row r="20" spans="1:19">
      <c r="A20" s="108" t="s">
        <v>113</v>
      </c>
      <c r="B20" s="63">
        <v>294</v>
      </c>
      <c r="C20" s="63">
        <f t="shared" si="0"/>
        <v>150</v>
      </c>
      <c r="D20" s="22">
        <f>E20+2*25</f>
        <v>250</v>
      </c>
      <c r="E20" s="63">
        <v>200</v>
      </c>
      <c r="F20" s="59">
        <v>150</v>
      </c>
      <c r="G20" s="59">
        <v>230</v>
      </c>
      <c r="H20" s="60">
        <f>25+25</f>
        <v>50</v>
      </c>
      <c r="I20" s="64">
        <f t="shared" si="1"/>
        <v>158</v>
      </c>
      <c r="J20" s="24">
        <f t="shared" si="2"/>
        <v>0.6</v>
      </c>
      <c r="K20" s="24">
        <f t="shared" si="3"/>
        <v>0.78231292517006801</v>
      </c>
      <c r="L20" s="25">
        <f t="shared" si="4"/>
        <v>0.2</v>
      </c>
      <c r="M20" s="25">
        <f t="shared" si="5"/>
        <v>0.75</v>
      </c>
      <c r="N20" s="23">
        <f t="shared" si="6"/>
        <v>300</v>
      </c>
      <c r="O20" s="23">
        <f t="shared" si="7"/>
        <v>30</v>
      </c>
      <c r="P20" s="23">
        <f t="shared" si="8"/>
        <v>166.66666666666666</v>
      </c>
      <c r="Q20" s="23">
        <f t="shared" si="9"/>
        <v>33.333333333333336</v>
      </c>
      <c r="R20" s="24">
        <f t="shared" si="10"/>
        <v>2.2999999999999998</v>
      </c>
      <c r="S20" s="26">
        <f t="shared" si="19"/>
        <v>25</v>
      </c>
    </row>
    <row r="21" spans="1:19" ht="13.5">
      <c r="S21"/>
    </row>
  </sheetData>
  <mergeCells count="1">
    <mergeCell ref="Q1:R1"/>
  </mergeCells>
  <phoneticPr fontId="3"/>
  <conditionalFormatting sqref="J4:J20">
    <cfRule type="expression" dxfId="6" priority="8" stopIfTrue="1">
      <formula>$J4&gt;0.75</formula>
    </cfRule>
    <cfRule type="expression" dxfId="5" priority="9" stopIfTrue="1">
      <formula>$J4&lt;0.5</formula>
    </cfRule>
  </conditionalFormatting>
  <conditionalFormatting sqref="K4:K20">
    <cfRule type="expression" dxfId="4" priority="12" stopIfTrue="1">
      <formula>$K4&gt;0.85</formula>
    </cfRule>
    <cfRule type="expression" dxfId="3" priority="13" stopIfTrue="1">
      <formula>$K4&lt;0.65</formula>
    </cfRule>
  </conditionalFormatting>
  <conditionalFormatting sqref="L4:L20">
    <cfRule type="expression" dxfId="2" priority="10" stopIfTrue="1">
      <formula>$L4&gt;0.25</formula>
    </cfRule>
    <cfRule type="expression" dxfId="1" priority="11" stopIfTrue="1">
      <formula>$L4&lt;0.2</formula>
    </cfRule>
  </conditionalFormatting>
  <conditionalFormatting sqref="M4:M20">
    <cfRule type="expression" dxfId="0" priority="14" stopIfTrue="1">
      <formula>M4&gt;0.85</formula>
    </cfRule>
  </conditionalFormatting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820BA-07D0-4DA4-B438-416ED74F1B43}">
  <sheetPr>
    <tabColor rgb="FFFFC000"/>
  </sheetPr>
  <dimension ref="A1:AF180"/>
  <sheetViews>
    <sheetView view="pageBreakPreview" zoomScale="115" zoomScaleNormal="100" zoomScaleSheetLayoutView="115" workbookViewId="0">
      <selection activeCell="K1" sqref="K1"/>
    </sheetView>
  </sheetViews>
  <sheetFormatPr defaultRowHeight="13.5"/>
  <cols>
    <col min="1" max="1" width="6.375" customWidth="1"/>
  </cols>
  <sheetData>
    <row r="1" spans="1:8">
      <c r="A1" s="57" t="s">
        <v>249</v>
      </c>
    </row>
    <row r="9" spans="1:8">
      <c r="H9" t="s">
        <v>252</v>
      </c>
    </row>
    <row r="14" spans="1:8">
      <c r="B14" t="s">
        <v>250</v>
      </c>
    </row>
    <row r="18" spans="1:25">
      <c r="H18" t="s">
        <v>251</v>
      </c>
    </row>
    <row r="19" spans="1:25">
      <c r="E19" s="30" t="s">
        <v>139</v>
      </c>
      <c r="F19" t="s">
        <v>253</v>
      </c>
    </row>
    <row r="20" spans="1:25">
      <c r="F20" t="s">
        <v>254</v>
      </c>
    </row>
    <row r="21" spans="1:25">
      <c r="F21" t="s">
        <v>255</v>
      </c>
    </row>
    <row r="22" spans="1:25">
      <c r="F22" t="s">
        <v>256</v>
      </c>
    </row>
    <row r="23" spans="1:25">
      <c r="E23" s="30" t="s">
        <v>139</v>
      </c>
      <c r="F23" t="s">
        <v>257</v>
      </c>
    </row>
    <row r="24" spans="1:25">
      <c r="F24" t="s">
        <v>258</v>
      </c>
    </row>
    <row r="25" spans="1:25">
      <c r="F25" t="s">
        <v>259</v>
      </c>
    </row>
    <row r="26" spans="1:25">
      <c r="F26" t="s">
        <v>375</v>
      </c>
    </row>
    <row r="27" spans="1:25">
      <c r="F27" t="s">
        <v>369</v>
      </c>
    </row>
    <row r="28" spans="1:25">
      <c r="F28" t="s">
        <v>260</v>
      </c>
    </row>
    <row r="30" spans="1:25">
      <c r="C30" t="s">
        <v>261</v>
      </c>
    </row>
    <row r="31" spans="1:25">
      <c r="A31" t="str">
        <f>IF(K31="","",K31)</f>
        <v>ERBS section check</v>
      </c>
      <c r="K31" s="27" t="s">
        <v>262</v>
      </c>
      <c r="R31" s="35"/>
      <c r="S31" s="35"/>
    </row>
    <row r="32" spans="1:25">
      <c r="A32" s="3" t="s">
        <v>263</v>
      </c>
      <c r="B32" s="4"/>
      <c r="C32" s="97"/>
      <c r="D32" s="4"/>
      <c r="E32" s="5"/>
      <c r="F32" s="8" t="str">
        <f>CONCATENATE("Position: ",N32,O32,P32,Q32,R32,"-",S32,T32,"  ",U32)</f>
        <v>Position: RFL Level,  2axis,　A-B   RG1y</v>
      </c>
      <c r="G32" s="8"/>
      <c r="H32" s="8"/>
      <c r="I32" s="8"/>
      <c r="J32" s="61"/>
      <c r="K32" s="34" t="s">
        <v>131</v>
      </c>
      <c r="L32" t="s">
        <v>147</v>
      </c>
      <c r="M32" s="27">
        <v>10</v>
      </c>
      <c r="N32" s="27" t="str">
        <f>INDEX(str!A:U,MATCH(M32,str!A:A,0),2)</f>
        <v>RFL</v>
      </c>
      <c r="O32" t="s">
        <v>267</v>
      </c>
      <c r="P32" s="27">
        <f>INDEX(str!A:U,MATCH(M32,str!A:A,0),3)</f>
        <v>2</v>
      </c>
      <c r="Q32" t="s">
        <v>266</v>
      </c>
      <c r="R32" s="27" t="str">
        <f>INDEX(str!A:U,MATCH(M32,str!A:A,0),4)</f>
        <v>A</v>
      </c>
      <c r="S32" s="27" t="str">
        <f>INDEX(str!A:U,MATCH(M32,str!A:A,0),5)</f>
        <v>B</v>
      </c>
      <c r="T32" t="s">
        <v>268</v>
      </c>
      <c r="U32" s="27" t="str">
        <f>INDEX(str!A:U,MATCH(M32,str!A:A,0),6)</f>
        <v>RG1y</v>
      </c>
      <c r="V32" s="27"/>
      <c r="W32" s="27"/>
      <c r="X32" s="27"/>
      <c r="Y32" s="56"/>
    </row>
    <row r="33" spans="1:29">
      <c r="A33" s="116" t="s">
        <v>265</v>
      </c>
      <c r="B33" t="str">
        <f>CONCATENATE(K33,L33,"×",M33,"×",N33,"×",O33,"×r",P33,") Zpx=",R33,",A=",S33,", Iy=",T33,",iy=",U33)</f>
        <v>Beam: reduced section H-400×170×9×16×r0) Zpx=1349,A=87.5, Iy=1312,iy=3.87</v>
      </c>
      <c r="F33" s="4"/>
      <c r="G33" s="4"/>
      <c r="H33" s="4"/>
      <c r="I33" s="4"/>
      <c r="J33" s="5"/>
      <c r="K33" t="s">
        <v>269</v>
      </c>
      <c r="L33" s="66">
        <f>IF(M40=0,M39,M40)</f>
        <v>400</v>
      </c>
      <c r="M33" s="67">
        <f>IF(N40=0,N39,N40)</f>
        <v>170</v>
      </c>
      <c r="N33" s="74">
        <v>9</v>
      </c>
      <c r="O33" s="75">
        <v>16</v>
      </c>
      <c r="P33" s="76">
        <v>0</v>
      </c>
      <c r="Q33" s="35"/>
      <c r="R33" s="65">
        <f>ROUND(1/4*(M33*L33^2-M33*(L33-2*O33)^2+N33*(L33-2*O33)^2)/1000+4*0.2146*P33^2*(L33/2-O33-0.2234*P33)/1000,0)</f>
        <v>1349</v>
      </c>
      <c r="S33" s="69">
        <f>ROUND((L33*M33-(L33-2*O33)*(M33-N33)+4*(P33^2-PI()*P33^2/4))/100,1)</f>
        <v>87.5</v>
      </c>
      <c r="T33" s="70">
        <f>ROUND(1/12*(2*O33*M33^3+(L33-2*O33)*N33^3)/10000+(4*0.2146*P33^2*(N33/2+0.2234*P33)^2+4*0.0075*P33^4)/10000,0)</f>
        <v>1312</v>
      </c>
      <c r="U33" s="71">
        <f>ROUND(SQRT(T33/S33),2)</f>
        <v>3.87</v>
      </c>
    </row>
    <row r="34" spans="1:29">
      <c r="A34" s="43" t="s">
        <v>264</v>
      </c>
      <c r="B34" t="str">
        <f>CONCATENATE(K34,L34,"×",M34,"×",N34,"×",O34,"×r",P34,") Zpx=",R34)</f>
        <v>Beam: column face H-400×300×0×16×r0) Zpx=1843</v>
      </c>
      <c r="J34" s="10"/>
      <c r="K34" t="s">
        <v>364</v>
      </c>
      <c r="L34" s="66">
        <f>L33</f>
        <v>400</v>
      </c>
      <c r="M34" s="67">
        <f>C39</f>
        <v>300</v>
      </c>
      <c r="N34" s="74">
        <v>0</v>
      </c>
      <c r="O34" s="68">
        <f>O33</f>
        <v>16</v>
      </c>
      <c r="P34" s="76">
        <v>0</v>
      </c>
      <c r="Q34" s="35"/>
      <c r="R34" s="65">
        <f>ROUND(1/4*(M34*L34^2-M34*(L34-2*O34)^2+N34*(L34-2*O34)^2)/1000+4*0.2146*P34^2*(L34/2-O34-0.2234*P34)/1000,0)</f>
        <v>1843</v>
      </c>
    </row>
    <row r="35" spans="1:29">
      <c r="A35" s="43" t="s">
        <v>264</v>
      </c>
      <c r="B35" t="str">
        <f>CONCATENATE(K35,M35,"×",N35,V35)</f>
        <v>column section □-400×16 (BCR295)</v>
      </c>
      <c r="F35" t="str">
        <f>IF(M37=1,CONCATENATE("  ",L36,M36,", ",N36,O36,", ",P36,Q36,", ",R36,S36),"")</f>
        <v/>
      </c>
      <c r="J35" s="10"/>
      <c r="K35" t="s">
        <v>365</v>
      </c>
      <c r="L35" s="35"/>
      <c r="M35" s="72">
        <v>400</v>
      </c>
      <c r="N35" s="73">
        <v>16</v>
      </c>
      <c r="O35" s="73"/>
      <c r="P35" s="30" t="s">
        <v>281</v>
      </c>
      <c r="Q35" s="27">
        <v>1</v>
      </c>
      <c r="R35" s="11" t="s">
        <v>115</v>
      </c>
      <c r="U35">
        <f>IF(Q35=1,295,IF(Q35=2,325,Y35))</f>
        <v>295</v>
      </c>
      <c r="V35" t="str">
        <f>IF(Q35=1," (BCR295)",IF(Q35=2," (BCP325)",X35))</f>
        <v xml:space="preserve"> (BCR295)</v>
      </c>
      <c r="W35" s="30" t="s">
        <v>116</v>
      </c>
      <c r="X35" s="27" t="s">
        <v>145</v>
      </c>
      <c r="Y35" s="27">
        <v>235</v>
      </c>
    </row>
    <row r="36" spans="1:29">
      <c r="A36" s="6"/>
      <c r="B36" s="28" t="str">
        <f>CONCATENATE(" Internodal distance L=",J45)</f>
        <v xml:space="preserve"> Internodal distance L=7000 mm</v>
      </c>
      <c r="C36" s="28"/>
      <c r="D36" s="28"/>
      <c r="E36" s="28"/>
      <c r="F36" s="28" t="str">
        <f>IF(M37=1,CONCATENATE("  tg=",T37,"mm ",O37,P37,", ",Q37,R37,"kNm"),"")</f>
        <v/>
      </c>
      <c r="G36" s="28"/>
      <c r="H36" s="28"/>
      <c r="I36" s="28"/>
      <c r="J36" s="7"/>
      <c r="L36" s="30" t="s">
        <v>79</v>
      </c>
      <c r="M36" s="27">
        <f>L34-2*O34</f>
        <v>368</v>
      </c>
      <c r="N36" s="30" t="s">
        <v>73</v>
      </c>
      <c r="O36" s="27">
        <f>M35-2*N35</f>
        <v>368</v>
      </c>
      <c r="P36" s="30" t="s">
        <v>74</v>
      </c>
      <c r="Q36">
        <f>MIN(1,ROUND(4*N35/M36*SQRT((O36*U35)/(T37*O44)),3))</f>
        <v>1</v>
      </c>
      <c r="R36" s="35" t="s">
        <v>284</v>
      </c>
      <c r="S36" s="27">
        <f>(4-1)*60+2*40</f>
        <v>260</v>
      </c>
    </row>
    <row r="37" spans="1:29">
      <c r="A37" s="46" t="s">
        <v>264</v>
      </c>
      <c r="B37" s="4" t="str">
        <f>CONCATENATE("RBS shape",IF(M38=0,"",K38))</f>
        <v>RBS shape</v>
      </c>
      <c r="C37" s="4"/>
      <c r="D37" s="4"/>
      <c r="E37" s="4"/>
      <c r="F37" s="4"/>
      <c r="G37" s="4"/>
      <c r="H37" s="4"/>
      <c r="I37" s="4"/>
      <c r="J37" s="115" t="str">
        <f>IF(U38&lt;5,"[スパン/梁成]&lt;5 : チェック","")</f>
        <v/>
      </c>
      <c r="K37" t="s">
        <v>280</v>
      </c>
      <c r="L37" s="35"/>
      <c r="M37" s="27">
        <v>0</v>
      </c>
      <c r="O37" s="30" t="s">
        <v>76</v>
      </c>
      <c r="P37">
        <f>ROUND((S36^2*T37)/4,0)</f>
        <v>152100</v>
      </c>
      <c r="Q37" s="30" t="s">
        <v>77</v>
      </c>
      <c r="R37">
        <f>ROUND(Q36*P37*U35/1000000,0)</f>
        <v>45</v>
      </c>
      <c r="S37" s="30" t="s">
        <v>117</v>
      </c>
      <c r="T37" s="27">
        <f>N33</f>
        <v>9</v>
      </c>
    </row>
    <row r="38" spans="1:29">
      <c r="A38" s="9"/>
      <c r="B38" s="30" t="s">
        <v>5</v>
      </c>
      <c r="C38" s="41">
        <f>IF(M40=0,M39,M40)</f>
        <v>400</v>
      </c>
      <c r="F38" t="str">
        <f>CONCATENATE(L41,M41,"mm",N41,O41,"mm")</f>
        <v xml:space="preserve">  H type  f=2bf/3=200mm   f1=0.2f=40mm</v>
      </c>
      <c r="J38" s="10"/>
      <c r="K38" s="117" t="str">
        <f>IF(M38=0,"both end RBS",IF(M38=1,"  (left pin)","  (right pin)"))</f>
        <v>both end RBS</v>
      </c>
      <c r="L38" s="98"/>
      <c r="M38" s="27">
        <v>0</v>
      </c>
      <c r="N38" s="11" t="s">
        <v>282</v>
      </c>
      <c r="R38" s="30" t="s">
        <v>283</v>
      </c>
      <c r="S38">
        <f>O47-P47</f>
        <v>6600</v>
      </c>
      <c r="T38" s="30" t="s">
        <v>196</v>
      </c>
      <c r="U38">
        <f>IF(M38=0,ROUNDUP(S38/L34,2),ROUNDUP(2*S38/L34,2))</f>
        <v>16.5</v>
      </c>
    </row>
    <row r="39" spans="1:29">
      <c r="A39" s="9"/>
      <c r="B39" s="30" t="s">
        <v>56</v>
      </c>
      <c r="C39" s="41">
        <f>IF(L40=0,L39,L40)</f>
        <v>300</v>
      </c>
      <c r="D39" s="30" t="s">
        <v>4</v>
      </c>
      <c r="E39" s="41">
        <f>IF(O40=0,O39,O40)</f>
        <v>300</v>
      </c>
      <c r="F39" t="str">
        <f>CONCATENATE(L42,M42,"mm",N42,O42,"mm")</f>
        <v xml:space="preserve">  BH type f=1.2bf=360mm   f1=0.1f=36mm</v>
      </c>
      <c r="J39" s="10"/>
      <c r="K39" t="s">
        <v>286</v>
      </c>
      <c r="L39" s="92">
        <f>O39</f>
        <v>300</v>
      </c>
      <c r="M39" s="99">
        <f>INDEX(List!A:S,MATCH(shs!K32,List!A:A,0),2)</f>
        <v>400</v>
      </c>
      <c r="N39" s="90">
        <f>INDEX(List!A:S,MATCH(shs!K32,List!A:A,0),3)</f>
        <v>170</v>
      </c>
      <c r="O39" s="79">
        <f>INDEX(List!A:S,MATCH(shs!K32,List!A:A,0),4)</f>
        <v>300</v>
      </c>
      <c r="P39" s="81">
        <f>INDEX(List!A:S,MATCH(shs!K32,List!A:A,0),5)</f>
        <v>200</v>
      </c>
      <c r="Q39" s="83">
        <f>INDEX(List!A:S,MATCH(shs!K32,List!A:A,0),6)</f>
        <v>150</v>
      </c>
      <c r="R39" s="85">
        <f>INDEX(List!A:S,MATCH(shs!K32,List!A:A,0),7)</f>
        <v>340</v>
      </c>
      <c r="S39" s="87">
        <f>INDEX(List!A:S,MATCH(shs!K32,List!A:A,0),8)</f>
        <v>65</v>
      </c>
      <c r="T39" s="76">
        <f>INDEX(List!A:S,MATCH(shs!K32,List!A:A,0),9)</f>
        <v>255</v>
      </c>
    </row>
    <row r="40" spans="1:29">
      <c r="A40" s="9"/>
      <c r="B40" s="30" t="s">
        <v>52</v>
      </c>
      <c r="C40" s="41">
        <f>IF(N40=0,N39,N40)</f>
        <v>170</v>
      </c>
      <c r="D40" s="30" t="s">
        <v>53</v>
      </c>
      <c r="E40" s="41">
        <f>IF(P40=0,P39,P40)</f>
        <v>200</v>
      </c>
      <c r="F40" t="str">
        <f>CONCATENATE("  bf1/bf0=",ROUND(C40/E40,3),IF(ROUND(C40/E40,3)&lt;=0.85," &lt; "," &gt; "),"0.85",IF(ROUND(C40/E40,3)&lt;=0.85,"OK","NG"))</f>
        <v xml:space="preserve">  bf1/bf0=0.85 &lt; 0.85OK</v>
      </c>
      <c r="J40" s="10"/>
      <c r="K40" t="s">
        <v>285</v>
      </c>
      <c r="L40" s="93">
        <v>0</v>
      </c>
      <c r="M40" s="78">
        <v>0</v>
      </c>
      <c r="N40" s="91">
        <v>0</v>
      </c>
      <c r="O40" s="80">
        <v>0</v>
      </c>
      <c r="P40" s="82">
        <v>0</v>
      </c>
      <c r="Q40" s="84">
        <v>0</v>
      </c>
      <c r="R40" s="86">
        <v>0</v>
      </c>
      <c r="S40" s="88">
        <v>0</v>
      </c>
      <c r="T40" s="89">
        <v>0</v>
      </c>
    </row>
    <row r="41" spans="1:29">
      <c r="A41" s="9"/>
      <c r="B41" s="30" t="s">
        <v>6</v>
      </c>
      <c r="C41" s="41">
        <f>IF(Q40=0,Q39,Q40)</f>
        <v>150</v>
      </c>
      <c r="D41" t="s">
        <v>11</v>
      </c>
      <c r="F41" s="30" t="s">
        <v>12</v>
      </c>
      <c r="G41" s="40">
        <f>C41/E39</f>
        <v>0.5</v>
      </c>
      <c r="H41" t="str">
        <f>IF(AND(0.5&lt;=G41,G41&lt;=0.75),"OK","NG")</f>
        <v>OK</v>
      </c>
      <c r="J41" s="10"/>
      <c r="L41" t="s">
        <v>270</v>
      </c>
      <c r="M41">
        <f>ROUND(2*E39/3,0)</f>
        <v>200</v>
      </c>
      <c r="N41" t="s">
        <v>54</v>
      </c>
      <c r="O41">
        <f>ROUND(0.2*M41,0)</f>
        <v>40</v>
      </c>
    </row>
    <row r="42" spans="1:29">
      <c r="A42" s="9"/>
      <c r="B42" s="30" t="s">
        <v>1</v>
      </c>
      <c r="C42" s="41">
        <f>IF(R40=0,R39,R40)</f>
        <v>340</v>
      </c>
      <c r="D42" t="s">
        <v>13</v>
      </c>
      <c r="F42" s="30" t="s">
        <v>14</v>
      </c>
      <c r="G42" s="40">
        <f>C42/C38</f>
        <v>0.85</v>
      </c>
      <c r="H42" t="str">
        <f>IF(AND(0.65&lt;=G42,G42&lt;=0.85),"OK","NG")</f>
        <v>OK</v>
      </c>
      <c r="J42" s="10"/>
      <c r="L42" t="s">
        <v>271</v>
      </c>
      <c r="M42">
        <f>ROUND(1.2*E39,0)</f>
        <v>360</v>
      </c>
      <c r="N42" t="s">
        <v>55</v>
      </c>
      <c r="O42">
        <f>ROUND(0.1*M42,0)</f>
        <v>36</v>
      </c>
    </row>
    <row r="43" spans="1:29">
      <c r="A43" s="9"/>
      <c r="B43" s="30" t="s">
        <v>2</v>
      </c>
      <c r="C43" s="41">
        <f>IF(S40=0,S39,S40)</f>
        <v>65</v>
      </c>
      <c r="D43" t="s">
        <v>16</v>
      </c>
      <c r="F43" s="30" t="s">
        <v>15</v>
      </c>
      <c r="G43" s="40">
        <f>C43/E39</f>
        <v>0.21666666666666667</v>
      </c>
      <c r="H43" t="str">
        <f>IF(AND(0.2&lt;=G43,G43&lt;=0.25),"OK","NG")</f>
        <v>OK</v>
      </c>
      <c r="J43" s="10"/>
    </row>
    <row r="44" spans="1:29">
      <c r="A44" s="6"/>
      <c r="B44" s="47" t="s">
        <v>3</v>
      </c>
      <c r="C44" s="48">
        <f>ROUNDUP((4*C43^2+C42^2)/(8*C43),0)</f>
        <v>255</v>
      </c>
      <c r="D44" s="28" t="s">
        <v>96</v>
      </c>
      <c r="E44" s="49"/>
      <c r="F44" s="28" t="str">
        <f>CONCATENATE("b/2c=",ROUND(C42/(2*C43),1),"：flange reducing angle around b/2c=2.9")</f>
        <v>b/2c=2.6：flange reducing angle around b/2c=2.9</v>
      </c>
      <c r="G44" s="28"/>
      <c r="H44" s="28"/>
      <c r="I44" s="28"/>
      <c r="J44" s="7"/>
      <c r="K44" s="35" t="s">
        <v>287</v>
      </c>
      <c r="L44" s="27">
        <v>1</v>
      </c>
      <c r="M44" s="11" t="s">
        <v>68</v>
      </c>
      <c r="O44">
        <f>IF(L44=1,235,325)</f>
        <v>235</v>
      </c>
      <c r="P44" t="str">
        <f>IF(L44=1," (SN400)"," (SN490)")</f>
        <v xml:space="preserve"> (SN400)</v>
      </c>
    </row>
    <row r="45" spans="1:29">
      <c r="A45" s="46" t="s">
        <v>264</v>
      </c>
      <c r="B45" s="50" t="s">
        <v>272</v>
      </c>
      <c r="C45" s="51"/>
      <c r="D45" s="50" t="str">
        <f>CONCATENATE("σy=",O44," N/mm2 ", P44)</f>
        <v>σy=235 N/mm2  (SN400)</v>
      </c>
      <c r="E45" s="4"/>
      <c r="F45" s="4"/>
      <c r="G45" s="52" t="s">
        <v>57</v>
      </c>
      <c r="H45" s="50" t="str">
        <f>CONCATENATE(L45," kN")</f>
        <v>40 kN</v>
      </c>
      <c r="I45" s="51" t="s">
        <v>8</v>
      </c>
      <c r="J45" s="53" t="str">
        <f>CONCATENATE(L46," mm")</f>
        <v>7000 mm</v>
      </c>
      <c r="K45" s="30" t="s">
        <v>118</v>
      </c>
      <c r="L45" s="13">
        <f>IF(Q45=0,MAX(N45:O45),Q45)</f>
        <v>40</v>
      </c>
      <c r="M45" t="s">
        <v>17</v>
      </c>
      <c r="N45" s="94">
        <f>VLOOKUP(M32,str!A:Y,19,FALSE)</f>
        <v>40</v>
      </c>
      <c r="O45" s="95">
        <f>VLOOKUP(M32,str!A:Y,21,FALSE)</f>
        <v>40</v>
      </c>
      <c r="P45" t="s">
        <v>288</v>
      </c>
      <c r="Q45" s="27">
        <v>0</v>
      </c>
    </row>
    <row r="46" spans="1:29">
      <c r="A46" s="9"/>
      <c r="B46" s="29" t="s">
        <v>58</v>
      </c>
      <c r="C46" t="str">
        <f>CONCATENATE(C41,"+",C42,"/2 = ",O46,"mm")</f>
        <v>150+340/2 = 320mm</v>
      </c>
      <c r="G46" s="29" t="s">
        <v>59</v>
      </c>
      <c r="H46" s="33">
        <v>1.1499999999999999</v>
      </c>
      <c r="I46" s="29" t="s">
        <v>60</v>
      </c>
      <c r="J46" s="44">
        <v>1.1000000000000001</v>
      </c>
      <c r="K46" s="30" t="s">
        <v>8</v>
      </c>
      <c r="L46" s="27">
        <f>IF(Q46=0,VLOOKUP(M32,str!A:Y,8,FALSE),Q46)</f>
        <v>7000</v>
      </c>
      <c r="M46" t="s">
        <v>10</v>
      </c>
      <c r="N46" s="30" t="s">
        <v>58</v>
      </c>
      <c r="O46" s="42">
        <f>C41+C42/2</f>
        <v>320</v>
      </c>
      <c r="P46" s="30" t="s">
        <v>289</v>
      </c>
      <c r="Q46" s="27">
        <f>VLOOKUP(M32,str!A:Y,8,FALSE)*0</f>
        <v>0</v>
      </c>
    </row>
    <row r="47" spans="1:29">
      <c r="A47" s="9"/>
      <c r="B47" s="29" t="s">
        <v>7</v>
      </c>
      <c r="C47" t="str">
        <f>CONCATENATE(O47,"-",P47,"-",Q47,"×",R47,"=",S47,"mm")</f>
        <v>7000-400-2×320=5960mm</v>
      </c>
      <c r="F47" s="29" t="s">
        <v>61</v>
      </c>
      <c r="G47" t="str">
        <f>CONCATENATE(X47,"×",Y47,"×",Z47,"×",AA47,AB47,AC47," kNm")</f>
        <v>1.15×1.1×1349×235/1000 = 401 kNm</v>
      </c>
      <c r="J47" s="10"/>
      <c r="K47" s="27">
        <f>M35</f>
        <v>400</v>
      </c>
      <c r="L47" t="s">
        <v>290</v>
      </c>
      <c r="O47">
        <f>L46</f>
        <v>7000</v>
      </c>
      <c r="P47">
        <f>K47</f>
        <v>400</v>
      </c>
      <c r="Q47">
        <f>IF(M38=0,2,1)</f>
        <v>2</v>
      </c>
      <c r="R47">
        <f>O46</f>
        <v>320</v>
      </c>
      <c r="S47" s="1">
        <f>O47-P47-Q47*R47</f>
        <v>5960</v>
      </c>
      <c r="T47" t="s">
        <v>291</v>
      </c>
      <c r="V47" t="s">
        <v>64</v>
      </c>
      <c r="X47">
        <f>H46</f>
        <v>1.1499999999999999</v>
      </c>
      <c r="Y47">
        <f>J46</f>
        <v>1.1000000000000001</v>
      </c>
      <c r="Z47" s="32">
        <f>ROUND(R33,0)</f>
        <v>1349</v>
      </c>
      <c r="AA47">
        <f>O44</f>
        <v>235</v>
      </c>
      <c r="AB47" t="s">
        <v>70</v>
      </c>
      <c r="AC47" s="2">
        <f>ROUND(H46*J46*Z47*AA47/1000,1)</f>
        <v>401</v>
      </c>
    </row>
    <row r="48" spans="1:29">
      <c r="A48" s="9"/>
      <c r="B48" s="29" t="s">
        <v>9</v>
      </c>
      <c r="C48" t="str">
        <f>CONCATENATE(L48,"x",M48,"/",N48,"+",O48," = ",P48," kN")</f>
        <v>2x401/5.96+40 = 174.6 kN</v>
      </c>
      <c r="F48" s="29" t="s">
        <v>62</v>
      </c>
      <c r="G48" t="str">
        <f>CONCATENATE(R48,"×",S48,T48,U48,V48)</f>
        <v>174.6×320/1000 = 55.9kNm</v>
      </c>
      <c r="J48" s="10"/>
      <c r="K48" t="s">
        <v>120</v>
      </c>
      <c r="L48">
        <f>IF(M38=0,2,1)</f>
        <v>2</v>
      </c>
      <c r="M48" s="32">
        <f>AC47</f>
        <v>401</v>
      </c>
      <c r="N48">
        <f>S47/1000</f>
        <v>5.96</v>
      </c>
      <c r="O48">
        <f>L45</f>
        <v>40</v>
      </c>
      <c r="P48" s="2">
        <f>ROUND((L48*M48)/(N48)+O48,1)</f>
        <v>174.6</v>
      </c>
      <c r="Q48" t="s">
        <v>62</v>
      </c>
      <c r="R48" s="32">
        <f>P48</f>
        <v>174.6</v>
      </c>
      <c r="S48">
        <f>O46</f>
        <v>320</v>
      </c>
      <c r="T48" s="11" t="s">
        <v>70</v>
      </c>
      <c r="U48" s="2">
        <f>ROUND(R48*S48/1000,1)</f>
        <v>55.9</v>
      </c>
      <c r="V48" t="s">
        <v>19</v>
      </c>
    </row>
    <row r="49" spans="1:32">
      <c r="A49" s="9"/>
      <c r="B49" s="29" t="s">
        <v>63</v>
      </c>
      <c r="C49" t="str">
        <f>CONCATENATE(L49,"+",M49," = ",N49," kNm")</f>
        <v>401+55.9 = 456.9 kNm</v>
      </c>
      <c r="J49" s="10"/>
      <c r="K49" t="s">
        <v>71</v>
      </c>
      <c r="L49" s="31">
        <f>AC47</f>
        <v>401</v>
      </c>
      <c r="M49" s="31">
        <f>U48</f>
        <v>55.9</v>
      </c>
      <c r="N49" s="2">
        <f>L49+M49</f>
        <v>456.9</v>
      </c>
      <c r="P49" s="29" t="s">
        <v>67</v>
      </c>
      <c r="Q49" t="str">
        <f>CONCATENATE(R49," / ",S49," = ",T49,+U49)</f>
        <v>456.9 / 401 = 1.14(Stress increase rate at column face/hinge)</v>
      </c>
      <c r="R49" s="31">
        <f>N49</f>
        <v>456.9</v>
      </c>
      <c r="S49" s="31">
        <f>AC47</f>
        <v>401</v>
      </c>
      <c r="T49" s="12">
        <f>ROUND(R49/S49,2)</f>
        <v>1.1399999999999999</v>
      </c>
      <c r="U49" t="s">
        <v>279</v>
      </c>
    </row>
    <row r="50" spans="1:32">
      <c r="A50" s="9"/>
      <c r="C50" s="30" t="str">
        <f>IF(M37=1,X50,S50)</f>
        <v>RyZpσy=</v>
      </c>
      <c r="D50" t="str">
        <f>IF(M37=1,Z50,T50)</f>
        <v>1.1×1843×235/1000 = 476.4kNm</v>
      </c>
      <c r="J50" s="10"/>
      <c r="K50">
        <f>J46</f>
        <v>1.1000000000000001</v>
      </c>
      <c r="L50" s="32">
        <f>R34</f>
        <v>1843</v>
      </c>
      <c r="M50">
        <f>O44</f>
        <v>235</v>
      </c>
      <c r="N50" s="11" t="s">
        <v>70</v>
      </c>
      <c r="O50" s="2">
        <f>ROUNDDOWN(K50*R34*M50/1000,1)</f>
        <v>476.4</v>
      </c>
      <c r="P50" t="s">
        <v>19</v>
      </c>
      <c r="Q50" t="str">
        <f>Q37</f>
        <v>jMwu=</v>
      </c>
      <c r="R50">
        <f>R37</f>
        <v>45</v>
      </c>
      <c r="S50" s="29" t="s">
        <v>65</v>
      </c>
      <c r="T50" t="str">
        <f>CONCATENATE(K50,"×",L50,"×",M50,N50,O50,P50)</f>
        <v>1.1×1843×235/1000 = 476.4kNm</v>
      </c>
      <c r="X50" t="s">
        <v>78</v>
      </c>
      <c r="Z50" t="str">
        <f>CONCATENATE(K50,"×",L50,"×",M50,,"/1000 +",R50,"=",O50,"+",R50,"=",O50+R50,"kNm")</f>
        <v>1.1×1843×235/1000 +45=476.4+45=521.4kNm</v>
      </c>
    </row>
    <row r="51" spans="1:32">
      <c r="A51" s="6"/>
      <c r="B51" s="28"/>
      <c r="C51" s="54" t="s">
        <v>69</v>
      </c>
      <c r="D51" s="28" t="str">
        <f>CONCATENATE(K51," / ",L51," = ",M51,N51)</f>
        <v>456.9 / 476.4 = 0.96&lt; 1.0 OK</v>
      </c>
      <c r="E51" s="28"/>
      <c r="F51" s="28"/>
      <c r="G51" s="28"/>
      <c r="H51" s="28"/>
      <c r="I51" s="28"/>
      <c r="J51" s="7"/>
      <c r="K51" s="31">
        <f>N49</f>
        <v>456.9</v>
      </c>
      <c r="L51" s="31">
        <f>IF(M37=1,O50+R37,O50)</f>
        <v>476.4</v>
      </c>
      <c r="M51" s="58">
        <f>ROUNDUP(K51/L51,2)</f>
        <v>0.96</v>
      </c>
      <c r="N51" s="1" t="str">
        <f>IF(K51&lt;L51,"&lt; 1.0 OK","&gt; 1.0 Ng")</f>
        <v>&lt; 1.0 OK</v>
      </c>
    </row>
    <row r="52" spans="1:32">
      <c r="A52" s="46" t="s">
        <v>264</v>
      </c>
      <c r="B52" s="50" t="s">
        <v>273</v>
      </c>
      <c r="C52" s="4"/>
      <c r="D52" s="50"/>
      <c r="E52" s="52" t="str">
        <f>IF(N53=1,O52,U52)</f>
        <v>Equal distance</v>
      </c>
      <c r="F52" s="4" t="str">
        <f>IF(N53=1,P52,V52)</f>
        <v xml:space="preserve">λy=170.6 &lt; 170+20×1=190 OK </v>
      </c>
      <c r="G52" s="4"/>
      <c r="H52" s="4"/>
      <c r="I52" s="4"/>
      <c r="J52" s="5"/>
      <c r="K52" t="s">
        <v>8</v>
      </c>
      <c r="L52" s="27">
        <f>L46-K47</f>
        <v>6600</v>
      </c>
      <c r="M52" s="1" t="s">
        <v>20</v>
      </c>
      <c r="N52" s="2">
        <f>U33*10</f>
        <v>38.700000000000003</v>
      </c>
      <c r="O52" s="1" t="s">
        <v>368</v>
      </c>
      <c r="P52" s="1" t="str">
        <f>CONCATENATE("λy=",O53,P53,Q53,"+20×",R53,"=",S53,T53)</f>
        <v xml:space="preserve">λy=170.6 &lt; 170+20×1=190 OK </v>
      </c>
      <c r="S52" t="s">
        <v>274</v>
      </c>
      <c r="T52" s="27">
        <f>L52/4</f>
        <v>1650</v>
      </c>
      <c r="U52" s="1" t="s">
        <v>275</v>
      </c>
      <c r="V52" t="str">
        <f>CONCATENATE("Lb・H/Af=",Z52,"×",AA52,"/",AB52,"=",AC52,AD52,AE52,AF52)</f>
        <v xml:space="preserve">Lb・H/Af=1650×400/2720=243 &lt; 250 OK </v>
      </c>
      <c r="Z52">
        <f>T52</f>
        <v>1650</v>
      </c>
      <c r="AA52">
        <f>L33</f>
        <v>400</v>
      </c>
      <c r="AB52">
        <f>ROUND(M33*O33,0)</f>
        <v>2720</v>
      </c>
      <c r="AC52">
        <f>ROUNDUP(Z52*AA52/AB52,0)</f>
        <v>243</v>
      </c>
      <c r="AD52" t="str">
        <f>IF(AC52&gt;AE52," &gt; "," &lt; ")</f>
        <v xml:space="preserve"> &lt; </v>
      </c>
      <c r="AE52">
        <f>IF(L44=1,250,200)</f>
        <v>250</v>
      </c>
      <c r="AF52" t="str">
        <f>IF(AC52&gt;AE52," NG "," OK ")</f>
        <v xml:space="preserve"> OK </v>
      </c>
    </row>
    <row r="53" spans="1:32">
      <c r="A53" s="6"/>
      <c r="B53" s="45" t="str">
        <f>CONCATENATE(K52,L52,"mm,  ",M52,N52,"mm,  ",K53,L53)</f>
        <v>L=6600mm,  iy=38.7mm,  n=1</v>
      </c>
      <c r="C53" s="28"/>
      <c r="D53" s="28"/>
      <c r="E53" s="28"/>
      <c r="F53" s="28" t="str">
        <f>IF(N53=1,"",V53)</f>
        <v/>
      </c>
      <c r="G53" s="28"/>
      <c r="H53" s="28"/>
      <c r="I53" s="28"/>
      <c r="J53" s="7"/>
      <c r="K53" s="1" t="s">
        <v>66</v>
      </c>
      <c r="L53" s="27">
        <v>1</v>
      </c>
      <c r="M53" s="35" t="s">
        <v>276</v>
      </c>
      <c r="N53" s="27">
        <v>1</v>
      </c>
      <c r="O53">
        <f>ROUNDUP(L52/N52,1)</f>
        <v>170.6</v>
      </c>
      <c r="P53" t="str">
        <f>IF(O53&gt;S53," &gt; "," &lt; ")</f>
        <v xml:space="preserve"> &lt; </v>
      </c>
      <c r="Q53">
        <f>IF(L44=1,170,130)</f>
        <v>170</v>
      </c>
      <c r="R53">
        <f>L53</f>
        <v>1</v>
      </c>
      <c r="S53">
        <f>Q53+20*R53</f>
        <v>190</v>
      </c>
      <c r="T53" t="str">
        <f>IF(O53&gt;S53," NG "," OK ")</f>
        <v xml:space="preserve"> OK </v>
      </c>
      <c r="U53" s="1"/>
      <c r="V53" s="1" t="str">
        <f>CONCATENATE("Lb/iy=",Z53,"/",AA53,"=",AB53,AC53,AD53,AE53)</f>
        <v xml:space="preserve">Lb/iy=1650/38.7=42.7 &lt; 65 OK </v>
      </c>
      <c r="Z53">
        <f>T52</f>
        <v>1650</v>
      </c>
      <c r="AA53" s="31">
        <f>N52</f>
        <v>38.700000000000003</v>
      </c>
      <c r="AB53">
        <f>ROUNDUP(Z53/AA53,1)</f>
        <v>42.7</v>
      </c>
      <c r="AC53" t="str">
        <f>IF(AB53&gt;AD53," &gt; "," &lt; ")</f>
        <v xml:space="preserve"> &lt; </v>
      </c>
      <c r="AD53">
        <f>IF(L44=1,65,50)</f>
        <v>65</v>
      </c>
      <c r="AE53" t="str">
        <f>IF(AB53&gt;AD53," NG "," OK ")</f>
        <v xml:space="preserve"> OK </v>
      </c>
    </row>
    <row r="54" spans="1:32">
      <c r="A54" s="43" t="str">
        <f>IF(AND(M37=1,M54=1),"-","")</f>
        <v/>
      </c>
      <c r="B54" s="1" t="str">
        <f>IF(AND(M37=1,M54=1),"Check web bolts strength","")</f>
        <v/>
      </c>
      <c r="D54" s="4"/>
      <c r="E54" s="4"/>
      <c r="F54" s="4"/>
      <c r="G54" s="4"/>
      <c r="H54" s="4"/>
      <c r="I54" s="4"/>
      <c r="J54" s="5"/>
      <c r="K54" t="s">
        <v>278</v>
      </c>
      <c r="M54" s="27">
        <v>2</v>
      </c>
      <c r="N54" t="s">
        <v>277</v>
      </c>
    </row>
    <row r="55" spans="1:32">
      <c r="A55" s="9"/>
      <c r="B55" s="1" t="str">
        <f>IF(AND(M37=1,M54=1),CONCATENATE(K55,"-M",L55,", Ab=",M55,", ",N55,", σu=",O55,"N/mm2, ",P55,Q55,R55,U55),"")</f>
        <v/>
      </c>
      <c r="J55" s="10"/>
      <c r="K55" s="27">
        <v>4</v>
      </c>
      <c r="L55" s="100">
        <v>22</v>
      </c>
      <c r="M55">
        <f>ROUND(L55^2/4*PI(),0)</f>
        <v>380</v>
      </c>
      <c r="N55" s="27" t="s">
        <v>88</v>
      </c>
      <c r="O55" s="27">
        <v>1000</v>
      </c>
      <c r="P55" t="s">
        <v>87</v>
      </c>
      <c r="Q55">
        <f>ROUND(0.6*M55*O55/1000,1)</f>
        <v>228</v>
      </c>
      <c r="R55" s="1" t="s">
        <v>292</v>
      </c>
      <c r="U55" s="96">
        <f>60*(K55-1)</f>
        <v>180</v>
      </c>
    </row>
    <row r="56" spans="1:32">
      <c r="A56" s="9"/>
      <c r="B56" t="str">
        <f>IF(AND(M37=1,M54=1),CONCATENATE(L56,M56,N56," Qu=",O56,"×",M56,"=",P56,"kN",Q56,R56,S56,T56),"")</f>
        <v/>
      </c>
      <c r="D56" s="1"/>
      <c r="J56" s="10"/>
      <c r="L56" s="30" t="s">
        <v>293</v>
      </c>
      <c r="M56" s="27">
        <f>K55-2*M57</f>
        <v>2</v>
      </c>
      <c r="N56" t="str">
        <f>IF(M56=1,"bolt at the center", "bolts at the center")</f>
        <v>bolts at the center</v>
      </c>
      <c r="O56">
        <f>Q55</f>
        <v>228</v>
      </c>
      <c r="P56">
        <f>M56*O56</f>
        <v>456</v>
      </c>
      <c r="Q56" t="str">
        <f>IF(P56&gt;S56," &gt; "," &gt; ")</f>
        <v xml:space="preserve"> &gt; </v>
      </c>
      <c r="R56" t="s">
        <v>9</v>
      </c>
      <c r="S56" s="31">
        <f>P48</f>
        <v>174.6</v>
      </c>
      <c r="T56" t="str">
        <f>IF(P56&gt;S56," OK "," NG ")</f>
        <v xml:space="preserve"> OK </v>
      </c>
    </row>
    <row r="57" spans="1:32">
      <c r="A57" s="9"/>
      <c r="B57" t="str">
        <f>IF(AND(M37=1,M54=1),CONCATENATE(L57,M57,N57,M57,"×",P57,"×",Q57,"/1000=",R57,S57,T57,U57,V57),"")</f>
        <v/>
      </c>
      <c r="D57" s="1"/>
      <c r="J57" s="10"/>
      <c r="L57" s="30" t="s">
        <v>294</v>
      </c>
      <c r="M57" s="27">
        <v>1</v>
      </c>
      <c r="N57" t="str">
        <f>IF(M57=1,"bolt at the edge", "bolts at the edge")</f>
        <v>bolt at the edge</v>
      </c>
      <c r="P57">
        <f>Q55</f>
        <v>228</v>
      </c>
      <c r="Q57">
        <f>U55</f>
        <v>180</v>
      </c>
      <c r="R57">
        <f>ROUND(M57*P57*Q57/1000,1)</f>
        <v>41</v>
      </c>
      <c r="S57" t="str">
        <f>IF(R57&gt;U57," &gt; "," &gt; ")</f>
        <v xml:space="preserve"> &gt; </v>
      </c>
      <c r="T57" t="s">
        <v>77</v>
      </c>
      <c r="U57" s="31">
        <f>R37</f>
        <v>45</v>
      </c>
      <c r="V57" t="str">
        <f>IF(R57&gt;U57,"kNm OK ","kNm NG ")</f>
        <v xml:space="preserve">kNm NG </v>
      </c>
    </row>
    <row r="58" spans="1:32">
      <c r="A58" s="9"/>
      <c r="B58" t="str">
        <f>IF(OR(M54=2,R57&gt;U57),"",IF(M37=1,CONCATENATE(K58,M58,N58,O58,P58,Q58,R58,S58,T58,U58,W58,X58),""))</f>
        <v/>
      </c>
      <c r="D58" s="1"/>
      <c r="J58" s="10"/>
      <c r="K58" t="s">
        <v>296</v>
      </c>
      <c r="M58" t="s">
        <v>140</v>
      </c>
      <c r="N58" s="27">
        <v>80</v>
      </c>
      <c r="O58" t="s">
        <v>141</v>
      </c>
      <c r="P58" s="27">
        <v>60</v>
      </c>
      <c r="Q58" s="31" t="s">
        <v>91</v>
      </c>
      <c r="R58" s="27">
        <f>T37</f>
        <v>9</v>
      </c>
      <c r="S58" t="s">
        <v>92</v>
      </c>
      <c r="T58" s="27">
        <f>N58+P58-4*R58</f>
        <v>104</v>
      </c>
      <c r="U58" s="1" t="s">
        <v>295</v>
      </c>
      <c r="W58" s="27">
        <f>(K55-1)*60+2*40-N58</f>
        <v>180</v>
      </c>
      <c r="X58" t="s">
        <v>10</v>
      </c>
    </row>
    <row r="59" spans="1:32">
      <c r="A59" s="9"/>
      <c r="B59" t="str">
        <f>IF(OR(M54=2,R57&gt;U57),"",IF(M37=1,CONCATENATE(K59,L59,"×",M59,"×",N59,O59,P59,Q59),""))</f>
        <v/>
      </c>
      <c r="D59" s="1"/>
      <c r="J59" s="10"/>
      <c r="K59" s="1" t="s">
        <v>89</v>
      </c>
      <c r="L59" s="1">
        <f>R58</f>
        <v>9</v>
      </c>
      <c r="M59">
        <f>T58</f>
        <v>104</v>
      </c>
      <c r="N59" s="27">
        <f>IF(L44=1,400,490)</f>
        <v>400</v>
      </c>
      <c r="O59" s="11" t="s">
        <v>137</v>
      </c>
      <c r="P59">
        <f>ROUNDDOWN(0.7*L59*M59*N59/1732,0)</f>
        <v>151</v>
      </c>
      <c r="Q59" t="s">
        <v>17</v>
      </c>
    </row>
    <row r="60" spans="1:32">
      <c r="A60" s="6"/>
      <c r="B60" s="28" t="str">
        <f>IF(OR(M54=2,R57&gt;U57),"",IF(M37=1,CONCATENATE(K60,L60,"+",M60,"×",O60,"/1000=",L60,"+",P60,"=",Q60,R60,S60,T60),""))</f>
        <v/>
      </c>
      <c r="C60" s="28"/>
      <c r="D60" s="45"/>
      <c r="E60" s="28"/>
      <c r="F60" s="28"/>
      <c r="G60" s="28"/>
      <c r="H60" s="28"/>
      <c r="I60" s="28"/>
      <c r="J60" s="7"/>
      <c r="K60" t="s">
        <v>90</v>
      </c>
      <c r="L60" s="31">
        <f>R57</f>
        <v>41</v>
      </c>
      <c r="M60" s="31">
        <f>P59</f>
        <v>151</v>
      </c>
      <c r="N60" s="29" t="s">
        <v>297</v>
      </c>
      <c r="O60" s="1">
        <f>W58</f>
        <v>180</v>
      </c>
      <c r="P60">
        <f>ROUND(M60*O60/1000,1)</f>
        <v>27.2</v>
      </c>
      <c r="Q60" s="39">
        <f>L60+P60</f>
        <v>68.2</v>
      </c>
      <c r="R60" t="str">
        <f>IF(Q60&gt;T60," &gt; "," &gt; ")</f>
        <v xml:space="preserve"> &gt; </v>
      </c>
      <c r="S60" s="2">
        <f>U57</f>
        <v>45</v>
      </c>
      <c r="T60" t="str">
        <f>IF(Q60&gt;S60,"kNm  OK ","kNm  NG ")</f>
        <v xml:space="preserve">kNm  OK </v>
      </c>
    </row>
    <row r="61" spans="1:32">
      <c r="A61" t="str">
        <f>IF(K61="","",K61)</f>
        <v>ERBS section check</v>
      </c>
      <c r="K61" s="27" t="s">
        <v>262</v>
      </c>
      <c r="R61" s="35"/>
      <c r="S61" s="35"/>
    </row>
    <row r="62" spans="1:32">
      <c r="A62" s="3" t="s">
        <v>263</v>
      </c>
      <c r="B62" s="4"/>
      <c r="C62" s="97"/>
      <c r="D62" s="4"/>
      <c r="E62" s="5"/>
      <c r="F62" s="8" t="str">
        <f>CONCATENATE("Position: ",N62,O62,P62,Q62,R62,"-",S62,T62,"  ",U62)</f>
        <v>Position: 3FL Level,  2axis,　A-B   3G1y</v>
      </c>
      <c r="G62" s="8"/>
      <c r="H62" s="8"/>
      <c r="I62" s="8"/>
      <c r="J62" s="61"/>
      <c r="K62" s="34" t="s">
        <v>138</v>
      </c>
      <c r="L62" t="s">
        <v>147</v>
      </c>
      <c r="M62" s="27">
        <v>17</v>
      </c>
      <c r="N62" s="27" t="str">
        <f>INDEX(str!A:U,MATCH(M62,str!A:A,0),2)</f>
        <v>3FL</v>
      </c>
      <c r="O62" t="s">
        <v>267</v>
      </c>
      <c r="P62" s="27">
        <f>INDEX(str!A:U,MATCH(M62,str!A:A,0),3)</f>
        <v>2</v>
      </c>
      <c r="Q62" t="s">
        <v>266</v>
      </c>
      <c r="R62" s="27" t="str">
        <f>INDEX(str!A:U,MATCH(M62,str!A:A,0),4)</f>
        <v>A</v>
      </c>
      <c r="S62" s="27" t="str">
        <f>INDEX(str!A:U,MATCH(M62,str!A:A,0),5)</f>
        <v>B</v>
      </c>
      <c r="T62" t="s">
        <v>268</v>
      </c>
      <c r="U62" s="27" t="str">
        <f>INDEX(str!A:U,MATCH(M62,str!A:A,0),6)</f>
        <v>3G1y</v>
      </c>
      <c r="V62" s="27"/>
      <c r="W62" s="27"/>
      <c r="X62" s="27"/>
      <c r="Y62" s="56"/>
    </row>
    <row r="63" spans="1:32">
      <c r="A63" s="116" t="s">
        <v>265</v>
      </c>
      <c r="B63" t="str">
        <f>CONCATENATE(K63,L63,"×",M63,"×",N63,"×",O63,"×r",P63,") Zpx=",R63,",A=",S63,", Iy=",T63,",iy=",U63)</f>
        <v>Beam: reduced section H-500×170×12×16×r0) Zpx=1974,A=110.6, Iy=1317,iy=3.45</v>
      </c>
      <c r="F63" s="4"/>
      <c r="G63" s="4"/>
      <c r="H63" s="4"/>
      <c r="I63" s="4"/>
      <c r="J63" s="5"/>
      <c r="K63" t="s">
        <v>269</v>
      </c>
      <c r="L63" s="66">
        <f>IF(M70=0,M69,M70)</f>
        <v>500</v>
      </c>
      <c r="M63" s="67">
        <f>IF(N70=0,N69,N70)</f>
        <v>170</v>
      </c>
      <c r="N63" s="74">
        <v>12</v>
      </c>
      <c r="O63" s="75">
        <v>16</v>
      </c>
      <c r="P63" s="76">
        <v>0</v>
      </c>
      <c r="Q63" s="35"/>
      <c r="R63" s="65">
        <f>ROUND(1/4*(M63*L63^2-M63*(L63-2*O63)^2+N63*(L63-2*O63)^2)/1000+4*0.2146*P63^2*(L63/2-O63-0.2234*P63)/1000,0)</f>
        <v>1974</v>
      </c>
      <c r="S63" s="69">
        <f>ROUND((L63*M63-(L63-2*O63)*(M63-N63)+4*(P63^2-PI()*P63^2/4))/100,1)</f>
        <v>110.6</v>
      </c>
      <c r="T63" s="70">
        <f>ROUND(1/12*(2*O63*M63^3+(L63-2*O63)*N63^3)/10000+(4*0.2146*P63^2*(N63/2+0.2234*P63)^2+4*0.0075*P63^4)/10000,0)</f>
        <v>1317</v>
      </c>
      <c r="U63" s="71">
        <f>ROUND(SQRT(T63/S63),2)</f>
        <v>3.45</v>
      </c>
    </row>
    <row r="64" spans="1:32">
      <c r="A64" s="43" t="s">
        <v>264</v>
      </c>
      <c r="B64" t="str">
        <f>CONCATENATE(K64,L64,"×",M64,"×",N64,"×",O64,"×r",P64,") Zpx=",R64)</f>
        <v>Beam: column face H-500×360×0×16×r0) Zpx=2788</v>
      </c>
      <c r="J64" s="10"/>
      <c r="K64" t="s">
        <v>364</v>
      </c>
      <c r="L64" s="66">
        <f>L63</f>
        <v>500</v>
      </c>
      <c r="M64" s="67">
        <f>C69</f>
        <v>360</v>
      </c>
      <c r="N64" s="74">
        <v>0</v>
      </c>
      <c r="O64" s="68">
        <f>O63</f>
        <v>16</v>
      </c>
      <c r="P64" s="76">
        <v>0</v>
      </c>
      <c r="Q64" s="35"/>
      <c r="R64" s="65">
        <f>ROUND(1/4*(M64*L64^2-M64*(L64-2*O64)^2+N64*(L64-2*O64)^2)/1000+4*0.2146*P64^2*(L64/2-O64-0.2234*P64)/1000,0)</f>
        <v>2788</v>
      </c>
    </row>
    <row r="65" spans="1:29">
      <c r="A65" s="43" t="s">
        <v>264</v>
      </c>
      <c r="B65" t="str">
        <f>CONCATENATE(K65,M65,"×",N65,V65)</f>
        <v>column section □-400×16 (BCR295)</v>
      </c>
      <c r="F65" t="str">
        <f>IF(M67=1,CONCATENATE("  ",L66,M66,", ",N66,O66,", ",P66,Q66,", ",R66,S66),"")</f>
        <v/>
      </c>
      <c r="J65" s="10"/>
      <c r="K65" t="s">
        <v>365</v>
      </c>
      <c r="L65" s="35"/>
      <c r="M65" s="72">
        <v>400</v>
      </c>
      <c r="N65" s="73">
        <v>16</v>
      </c>
      <c r="O65" s="73"/>
      <c r="P65" s="30" t="s">
        <v>281</v>
      </c>
      <c r="Q65" s="27">
        <v>1</v>
      </c>
      <c r="R65" s="11" t="s">
        <v>115</v>
      </c>
      <c r="U65">
        <f>IF(Q65=1,295,IF(Q65=2,325,Y65))</f>
        <v>295</v>
      </c>
      <c r="V65" t="str">
        <f>IF(Q65=1," (BCR295)",IF(Q65=2," (BCP325)",X65))</f>
        <v xml:space="preserve"> (BCR295)</v>
      </c>
      <c r="W65" s="30" t="s">
        <v>116</v>
      </c>
      <c r="X65" s="27" t="s">
        <v>145</v>
      </c>
      <c r="Y65" s="27">
        <v>235</v>
      </c>
    </row>
    <row r="66" spans="1:29">
      <c r="A66" s="6"/>
      <c r="B66" s="28" t="str">
        <f>CONCATENATE(" Internodal distance L=",J75)</f>
        <v xml:space="preserve"> Internodal distance L=7000 mm</v>
      </c>
      <c r="C66" s="28"/>
      <c r="D66" s="28"/>
      <c r="E66" s="28"/>
      <c r="F66" s="28" t="str">
        <f>IF(M67=1,CONCATENATE("  tg=",T67,"mm ",O67,P67,", ",Q67,R67,"kNm"),"")</f>
        <v/>
      </c>
      <c r="G66" s="28"/>
      <c r="H66" s="28"/>
      <c r="I66" s="28"/>
      <c r="J66" s="7"/>
      <c r="L66" s="30" t="s">
        <v>79</v>
      </c>
      <c r="M66" s="27">
        <f>L64-2*O64</f>
        <v>468</v>
      </c>
      <c r="N66" s="30" t="s">
        <v>73</v>
      </c>
      <c r="O66" s="27">
        <f>M65-2*N65</f>
        <v>368</v>
      </c>
      <c r="P66" s="30" t="s">
        <v>74</v>
      </c>
      <c r="Q66">
        <f>MIN(1,ROUND(4*N65/M66*SQRT((O66*U65)/(T67*O74)),3))</f>
        <v>0.84799999999999998</v>
      </c>
      <c r="R66" s="35" t="s">
        <v>284</v>
      </c>
      <c r="S66" s="27">
        <f>(4-1)*60+2*40</f>
        <v>260</v>
      </c>
    </row>
    <row r="67" spans="1:29">
      <c r="A67" s="46" t="s">
        <v>264</v>
      </c>
      <c r="B67" s="4" t="str">
        <f>CONCATENATE("RBS shape",IF(M68=0,"",K68))</f>
        <v>RBS shape</v>
      </c>
      <c r="C67" s="4"/>
      <c r="D67" s="4"/>
      <c r="E67" s="4"/>
      <c r="F67" s="4"/>
      <c r="G67" s="4"/>
      <c r="H67" s="4"/>
      <c r="I67" s="4"/>
      <c r="J67" s="115" t="str">
        <f>IF(U68&lt;5,"[スパン/梁成]&lt;5 : チェック","")</f>
        <v/>
      </c>
      <c r="K67" t="s">
        <v>280</v>
      </c>
      <c r="L67" s="35"/>
      <c r="M67" s="27">
        <v>0</v>
      </c>
      <c r="O67" s="30" t="s">
        <v>76</v>
      </c>
      <c r="P67">
        <f>ROUND((S66^2*T67)/4,0)</f>
        <v>202800</v>
      </c>
      <c r="Q67" s="30" t="s">
        <v>77</v>
      </c>
      <c r="R67">
        <f>ROUND(Q66*P67*U65/1000000,0)</f>
        <v>51</v>
      </c>
      <c r="S67" s="30" t="s">
        <v>117</v>
      </c>
      <c r="T67" s="27">
        <f>N63</f>
        <v>12</v>
      </c>
    </row>
    <row r="68" spans="1:29">
      <c r="A68" s="9"/>
      <c r="B68" s="30" t="s">
        <v>5</v>
      </c>
      <c r="C68" s="41">
        <f>IF(M70=0,M69,M70)</f>
        <v>500</v>
      </c>
      <c r="F68" t="str">
        <f>CONCATENATE(L71,M71,"mm",N71,O71,"mm")</f>
        <v xml:space="preserve">  H type  f=2bf/3=200mm   f1=0.2f=40mm</v>
      </c>
      <c r="J68" s="10"/>
      <c r="K68" s="117" t="str">
        <f>IF(M68=0,"both end RBS",IF(M68=1,"  (left pin)","  (right pin)"))</f>
        <v>both end RBS</v>
      </c>
      <c r="L68" s="98"/>
      <c r="M68" s="27">
        <v>0</v>
      </c>
      <c r="N68" s="11" t="s">
        <v>282</v>
      </c>
      <c r="R68" s="30" t="s">
        <v>283</v>
      </c>
      <c r="S68">
        <f>O77-P77</f>
        <v>6600</v>
      </c>
      <c r="T68" s="30" t="s">
        <v>196</v>
      </c>
      <c r="U68">
        <f>IF(M68=0,ROUNDUP(S68/L64,2),ROUNDUP(2*S68/L64,2))</f>
        <v>13.2</v>
      </c>
    </row>
    <row r="69" spans="1:29">
      <c r="A69" s="9"/>
      <c r="B69" s="30" t="s">
        <v>56</v>
      </c>
      <c r="C69" s="41">
        <f>IF(L70=0,L69,L70)</f>
        <v>360</v>
      </c>
      <c r="D69" s="30" t="s">
        <v>4</v>
      </c>
      <c r="E69" s="41">
        <f>IF(O70=0,O69,O70)</f>
        <v>300</v>
      </c>
      <c r="F69" t="str">
        <f>CONCATENATE(L72,M72,"mm",N72,O72,"mm")</f>
        <v xml:space="preserve">  BH type f=1.2bf=360mm   f1=0.1f=36mm</v>
      </c>
      <c r="J69" s="10"/>
      <c r="K69" t="s">
        <v>286</v>
      </c>
      <c r="L69" s="92">
        <f>O69</f>
        <v>300</v>
      </c>
      <c r="M69" s="99">
        <f>INDEX(List!A:S,MATCH(shs!K62,List!A:A,0),2)</f>
        <v>500</v>
      </c>
      <c r="N69" s="90">
        <f>INDEX(List!A:S,MATCH(shs!K62,List!A:A,0),3)</f>
        <v>170</v>
      </c>
      <c r="O69" s="79">
        <f>INDEX(List!A:S,MATCH(shs!K62,List!A:A,0),4)</f>
        <v>300</v>
      </c>
      <c r="P69" s="81">
        <f>INDEX(List!A:S,MATCH(shs!K62,List!A:A,0),5)</f>
        <v>200</v>
      </c>
      <c r="Q69" s="83">
        <f>INDEX(List!A:S,MATCH(shs!K62,List!A:A,0),6)</f>
        <v>150</v>
      </c>
      <c r="R69" s="85">
        <f>INDEX(List!A:S,MATCH(shs!K62,List!A:A,0),7)</f>
        <v>380</v>
      </c>
      <c r="S69" s="87">
        <f>INDEX(List!A:S,MATCH(shs!K62,List!A:A,0),8)</f>
        <v>65</v>
      </c>
      <c r="T69" s="76">
        <f>INDEX(List!A:S,MATCH(shs!K62,List!A:A,0),9)</f>
        <v>311</v>
      </c>
    </row>
    <row r="70" spans="1:29">
      <c r="A70" s="9"/>
      <c r="B70" s="30" t="s">
        <v>52</v>
      </c>
      <c r="C70" s="41">
        <f>IF(N70=0,N69,N70)</f>
        <v>170</v>
      </c>
      <c r="D70" s="30" t="s">
        <v>53</v>
      </c>
      <c r="E70" s="41">
        <f>IF(P70=0,P69,P70)</f>
        <v>200</v>
      </c>
      <c r="F70" t="str">
        <f>CONCATENATE("  bf1/bf0=",ROUND(C70/E70,3),IF(ROUND(C70/E70,3)&lt;=0.85," &lt; "," &gt; "),"0.85",IF(ROUND(C70/E70,3)&lt;=0.85,"OK","NG"))</f>
        <v xml:space="preserve">  bf1/bf0=0.85 &lt; 0.85OK</v>
      </c>
      <c r="J70" s="10"/>
      <c r="K70" t="s">
        <v>285</v>
      </c>
      <c r="L70" s="93">
        <v>360</v>
      </c>
      <c r="M70" s="78">
        <v>0</v>
      </c>
      <c r="N70" s="91">
        <v>0</v>
      </c>
      <c r="O70" s="80">
        <v>0</v>
      </c>
      <c r="P70" s="82">
        <v>0</v>
      </c>
      <c r="Q70" s="84">
        <v>0</v>
      </c>
      <c r="R70" s="86">
        <v>0</v>
      </c>
      <c r="S70" s="88">
        <v>0</v>
      </c>
      <c r="T70" s="89">
        <v>0</v>
      </c>
    </row>
    <row r="71" spans="1:29">
      <c r="A71" s="9"/>
      <c r="B71" s="30" t="s">
        <v>6</v>
      </c>
      <c r="C71" s="41">
        <f>IF(Q70=0,Q69,Q70)</f>
        <v>150</v>
      </c>
      <c r="D71" t="s">
        <v>11</v>
      </c>
      <c r="F71" s="30" t="s">
        <v>12</v>
      </c>
      <c r="G71" s="40">
        <f>C71/E69</f>
        <v>0.5</v>
      </c>
      <c r="H71" t="str">
        <f>IF(AND(0.5&lt;=G71,G71&lt;=0.75),"OK","NG")</f>
        <v>OK</v>
      </c>
      <c r="J71" s="10"/>
      <c r="L71" t="s">
        <v>270</v>
      </c>
      <c r="M71">
        <f>ROUND(2*E69/3,0)</f>
        <v>200</v>
      </c>
      <c r="N71" t="s">
        <v>54</v>
      </c>
      <c r="O71">
        <f>ROUND(0.2*M71,0)</f>
        <v>40</v>
      </c>
    </row>
    <row r="72" spans="1:29">
      <c r="A72" s="9"/>
      <c r="B72" s="30" t="s">
        <v>1</v>
      </c>
      <c r="C72" s="41">
        <f>IF(R70=0,R69,R70)</f>
        <v>380</v>
      </c>
      <c r="D72" t="s">
        <v>13</v>
      </c>
      <c r="F72" s="30" t="s">
        <v>14</v>
      </c>
      <c r="G72" s="40">
        <f>C72/C68</f>
        <v>0.76</v>
      </c>
      <c r="H72" t="str">
        <f>IF(AND(0.65&lt;=G72,G72&lt;=0.85),"OK","NG")</f>
        <v>OK</v>
      </c>
      <c r="J72" s="10"/>
      <c r="L72" t="s">
        <v>271</v>
      </c>
      <c r="M72">
        <f>ROUND(1.2*E69,0)</f>
        <v>360</v>
      </c>
      <c r="N72" t="s">
        <v>55</v>
      </c>
      <c r="O72">
        <f>ROUND(0.1*M72,0)</f>
        <v>36</v>
      </c>
    </row>
    <row r="73" spans="1:29">
      <c r="A73" s="9"/>
      <c r="B73" s="30" t="s">
        <v>2</v>
      </c>
      <c r="C73" s="41">
        <f>IF(S70=0,S69,S70)</f>
        <v>65</v>
      </c>
      <c r="D73" t="s">
        <v>16</v>
      </c>
      <c r="F73" s="30" t="s">
        <v>15</v>
      </c>
      <c r="G73" s="40">
        <f>C73/E69</f>
        <v>0.21666666666666667</v>
      </c>
      <c r="H73" t="str">
        <f>IF(AND(0.2&lt;=G73,G73&lt;=0.25),"OK","NG")</f>
        <v>OK</v>
      </c>
      <c r="J73" s="10"/>
    </row>
    <row r="74" spans="1:29">
      <c r="A74" s="6"/>
      <c r="B74" s="47" t="s">
        <v>3</v>
      </c>
      <c r="C74" s="48">
        <f>ROUNDUP((4*C73^2+C72^2)/(8*C73),0)</f>
        <v>311</v>
      </c>
      <c r="D74" s="28" t="s">
        <v>96</v>
      </c>
      <c r="E74" s="49"/>
      <c r="F74" s="28" t="str">
        <f>CONCATENATE("b/2c=",ROUND(C72/(2*C73),1),"：flange reducing angle around b/2c=2.9")</f>
        <v>b/2c=2.9：flange reducing angle around b/2c=2.9</v>
      </c>
      <c r="G74" s="28"/>
      <c r="H74" s="28"/>
      <c r="I74" s="28"/>
      <c r="J74" s="7"/>
      <c r="K74" s="35" t="s">
        <v>287</v>
      </c>
      <c r="L74" s="27">
        <v>1</v>
      </c>
      <c r="M74" s="11" t="s">
        <v>68</v>
      </c>
      <c r="O74">
        <f>IF(L74=1,235,325)</f>
        <v>235</v>
      </c>
      <c r="P74" t="str">
        <f>IF(L74=1," (SN400)"," (SN490)")</f>
        <v xml:space="preserve"> (SN400)</v>
      </c>
    </row>
    <row r="75" spans="1:29">
      <c r="A75" s="46" t="s">
        <v>264</v>
      </c>
      <c r="B75" s="50" t="s">
        <v>272</v>
      </c>
      <c r="C75" s="51"/>
      <c r="D75" s="50" t="str">
        <f>CONCATENATE("σy=",O74," N/mm2 ", P74)</f>
        <v>σy=235 N/mm2  (SN400)</v>
      </c>
      <c r="E75" s="4"/>
      <c r="F75" s="4"/>
      <c r="G75" s="52" t="s">
        <v>57</v>
      </c>
      <c r="H75" s="50" t="str">
        <f>CONCATENATE(L75," kN")</f>
        <v>38 kN</v>
      </c>
      <c r="I75" s="51" t="s">
        <v>8</v>
      </c>
      <c r="J75" s="53" t="str">
        <f>CONCATENATE(L76," mm")</f>
        <v>7000 mm</v>
      </c>
      <c r="K75" s="30" t="s">
        <v>118</v>
      </c>
      <c r="L75" s="13">
        <f>IF(Q75=0,MAX(N75:O75),Q75)</f>
        <v>38</v>
      </c>
      <c r="M75" t="s">
        <v>17</v>
      </c>
      <c r="N75" s="94">
        <f>VLOOKUP(M62,str!A:Y,19,FALSE)</f>
        <v>38</v>
      </c>
      <c r="O75" s="95">
        <f>VLOOKUP(M62,str!A:Y,21,FALSE)</f>
        <v>38</v>
      </c>
      <c r="P75" t="s">
        <v>288</v>
      </c>
      <c r="Q75" s="27">
        <v>0</v>
      </c>
    </row>
    <row r="76" spans="1:29">
      <c r="A76" s="9"/>
      <c r="B76" s="29" t="s">
        <v>58</v>
      </c>
      <c r="C76" t="str">
        <f>CONCATENATE(C71,"+",C72,"/2 = ",O76,"mm")</f>
        <v>150+380/2 = 340mm</v>
      </c>
      <c r="G76" s="29" t="s">
        <v>59</v>
      </c>
      <c r="H76" s="33">
        <v>1.1499999999999999</v>
      </c>
      <c r="I76" s="29" t="s">
        <v>60</v>
      </c>
      <c r="J76" s="44">
        <v>1.1000000000000001</v>
      </c>
      <c r="K76" s="30" t="s">
        <v>8</v>
      </c>
      <c r="L76" s="27">
        <f>IF(Q76=0,VLOOKUP(M62,str!A:Y,8,FALSE),Q76)</f>
        <v>7000</v>
      </c>
      <c r="M76" t="s">
        <v>10</v>
      </c>
      <c r="N76" s="30" t="s">
        <v>58</v>
      </c>
      <c r="O76" s="42">
        <f>C71+C72/2</f>
        <v>340</v>
      </c>
      <c r="P76" s="30" t="s">
        <v>289</v>
      </c>
      <c r="Q76" s="27">
        <f>VLOOKUP(M62,str!A:Y,8,FALSE)*0</f>
        <v>0</v>
      </c>
    </row>
    <row r="77" spans="1:29">
      <c r="A77" s="9"/>
      <c r="B77" s="29" t="s">
        <v>7</v>
      </c>
      <c r="C77" t="str">
        <f>CONCATENATE(O77,"-",P77,"-",Q77,"×",R77,"=",S77,"mm")</f>
        <v>7000-400-2×340=5920mm</v>
      </c>
      <c r="F77" s="29" t="s">
        <v>61</v>
      </c>
      <c r="G77" t="str">
        <f>CONCATENATE(X77,"×",Y77,"×",Z77,"×",AA77,AB77,AC77," kNm")</f>
        <v>1.15×1.1×1974×235/1000 = 586.8 kNm</v>
      </c>
      <c r="J77" s="10"/>
      <c r="K77" s="27">
        <f>M65</f>
        <v>400</v>
      </c>
      <c r="L77" t="s">
        <v>290</v>
      </c>
      <c r="O77">
        <f>L76</f>
        <v>7000</v>
      </c>
      <c r="P77">
        <f>K77</f>
        <v>400</v>
      </c>
      <c r="Q77">
        <f>IF(M68=0,2,1)</f>
        <v>2</v>
      </c>
      <c r="R77">
        <f>O76</f>
        <v>340</v>
      </c>
      <c r="S77" s="1">
        <f>O77-P77-Q77*R77</f>
        <v>5920</v>
      </c>
      <c r="T77" t="s">
        <v>291</v>
      </c>
      <c r="V77" t="s">
        <v>64</v>
      </c>
      <c r="X77">
        <f>H76</f>
        <v>1.1499999999999999</v>
      </c>
      <c r="Y77">
        <f>J76</f>
        <v>1.1000000000000001</v>
      </c>
      <c r="Z77" s="32">
        <f>ROUND(R63,0)</f>
        <v>1974</v>
      </c>
      <c r="AA77">
        <f>O74</f>
        <v>235</v>
      </c>
      <c r="AB77" t="s">
        <v>70</v>
      </c>
      <c r="AC77" s="2">
        <f>ROUND(H76*J76*Z77*AA77/1000,1)</f>
        <v>586.79999999999995</v>
      </c>
    </row>
    <row r="78" spans="1:29">
      <c r="A78" s="9"/>
      <c r="B78" s="29" t="s">
        <v>9</v>
      </c>
      <c r="C78" t="str">
        <f>CONCATENATE(L78,"x",M78,"/",N78,"+",O78," = ",P78," kN")</f>
        <v>2x586.8/5.92+38 = 236.2 kN</v>
      </c>
      <c r="F78" s="29" t="s">
        <v>62</v>
      </c>
      <c r="G78" t="str">
        <f>CONCATENATE(R78,"×",S78,T78,U78,V78)</f>
        <v>236.2×340/1000 = 80.3kNm</v>
      </c>
      <c r="J78" s="10"/>
      <c r="K78" t="s">
        <v>9</v>
      </c>
      <c r="L78">
        <f>IF(M68=0,2,1)</f>
        <v>2</v>
      </c>
      <c r="M78" s="32">
        <f>AC77</f>
        <v>586.79999999999995</v>
      </c>
      <c r="N78">
        <f>S77/1000</f>
        <v>5.92</v>
      </c>
      <c r="O78">
        <f>L75</f>
        <v>38</v>
      </c>
      <c r="P78" s="2">
        <f>ROUND((L78*M78)/(N78)+O78,1)</f>
        <v>236.2</v>
      </c>
      <c r="Q78" t="s">
        <v>62</v>
      </c>
      <c r="R78" s="32">
        <f>P78</f>
        <v>236.2</v>
      </c>
      <c r="S78">
        <f>O76</f>
        <v>340</v>
      </c>
      <c r="T78" s="11" t="s">
        <v>70</v>
      </c>
      <c r="U78" s="2">
        <f>ROUND(R78*S78/1000,1)</f>
        <v>80.3</v>
      </c>
      <c r="V78" t="s">
        <v>19</v>
      </c>
    </row>
    <row r="79" spans="1:29">
      <c r="A79" s="9"/>
      <c r="B79" s="29" t="s">
        <v>63</v>
      </c>
      <c r="C79" t="str">
        <f>CONCATENATE(L79,"+",M79," = ",N79," kNm")</f>
        <v>586.8+80.3 = 667.1 kNm</v>
      </c>
      <c r="J79" s="10"/>
      <c r="K79" t="s">
        <v>71</v>
      </c>
      <c r="L79" s="31">
        <f>AC77</f>
        <v>586.79999999999995</v>
      </c>
      <c r="M79" s="31">
        <f>U78</f>
        <v>80.3</v>
      </c>
      <c r="N79" s="2">
        <f>L79+M79</f>
        <v>667.09999999999991</v>
      </c>
      <c r="P79" s="29" t="s">
        <v>67</v>
      </c>
      <c r="Q79" t="str">
        <f>CONCATENATE(R79," / ",S79," = ",T79,+U79)</f>
        <v>667.1 / 586.8 = 1.14(Stress increase rate at column face/hinge)</v>
      </c>
      <c r="R79" s="31">
        <f>N79</f>
        <v>667.09999999999991</v>
      </c>
      <c r="S79" s="31">
        <f>AC77</f>
        <v>586.79999999999995</v>
      </c>
      <c r="T79" s="12">
        <f>ROUND(R79/S79,2)</f>
        <v>1.1399999999999999</v>
      </c>
      <c r="U79" t="s">
        <v>279</v>
      </c>
    </row>
    <row r="80" spans="1:29">
      <c r="A80" s="9"/>
      <c r="C80" s="30" t="str">
        <f>IF(M67=1,X80,S80)</f>
        <v>RyZpσy=</v>
      </c>
      <c r="D80" t="str">
        <f>IF(M67=1,Z80,T80)</f>
        <v>1.1×2788×235/1000 = 720.6kNm</v>
      </c>
      <c r="J80" s="10"/>
      <c r="K80">
        <f>J76</f>
        <v>1.1000000000000001</v>
      </c>
      <c r="L80" s="32">
        <f>R64</f>
        <v>2788</v>
      </c>
      <c r="M80">
        <f>O74</f>
        <v>235</v>
      </c>
      <c r="N80" s="11" t="s">
        <v>70</v>
      </c>
      <c r="O80" s="2">
        <f>ROUNDDOWN(K80*R64*M80/1000,1)</f>
        <v>720.6</v>
      </c>
      <c r="P80" t="s">
        <v>19</v>
      </c>
      <c r="Q80" t="str">
        <f>Q67</f>
        <v>jMwu=</v>
      </c>
      <c r="R80">
        <f>R67</f>
        <v>51</v>
      </c>
      <c r="S80" s="29" t="s">
        <v>65</v>
      </c>
      <c r="T80" t="str">
        <f>CONCATENATE(K80,"×",L80,"×",M80,N80,O80,P80)</f>
        <v>1.1×2788×235/1000 = 720.6kNm</v>
      </c>
      <c r="X80" t="s">
        <v>78</v>
      </c>
      <c r="Z80" t="str">
        <f>CONCATENATE(K80,"×",L80,"×",M80,,"/1000 +",R80,"=",O80,"+",R80,"=",O80+R80,"kNm")</f>
        <v>1.1×2788×235/1000 +51=720.6+51=771.6kNm</v>
      </c>
    </row>
    <row r="81" spans="1:32">
      <c r="A81" s="6"/>
      <c r="B81" s="28"/>
      <c r="C81" s="54" t="s">
        <v>69</v>
      </c>
      <c r="D81" s="28" t="str">
        <f>CONCATENATE(K81," / ",L81," = ",M81,N81)</f>
        <v>667.1 / 720.6 = 0.93&lt; 1.0 OK</v>
      </c>
      <c r="E81" s="28"/>
      <c r="F81" s="28"/>
      <c r="G81" s="28"/>
      <c r="H81" s="28"/>
      <c r="I81" s="28"/>
      <c r="J81" s="7"/>
      <c r="K81" s="31">
        <f>N79</f>
        <v>667.09999999999991</v>
      </c>
      <c r="L81" s="31">
        <f>IF(M67=1,O80+R67,O80)</f>
        <v>720.6</v>
      </c>
      <c r="M81" s="58">
        <f>ROUNDUP(K81/L81,2)</f>
        <v>0.93</v>
      </c>
      <c r="N81" s="1" t="str">
        <f>IF(K81&lt;L81,"&lt; 1.0 OK","&gt; 1.0 Ng")</f>
        <v>&lt; 1.0 OK</v>
      </c>
    </row>
    <row r="82" spans="1:32">
      <c r="A82" s="46" t="s">
        <v>264</v>
      </c>
      <c r="B82" s="50" t="s">
        <v>273</v>
      </c>
      <c r="C82" s="4"/>
      <c r="D82" s="50"/>
      <c r="E82" s="52" t="str">
        <f>IF(N83=1,O82,U82)</f>
        <v>Equal distance</v>
      </c>
      <c r="F82" s="4" t="str">
        <f>IF(N83=1,P82,V82)</f>
        <v xml:space="preserve">λy=191.4 &lt; 170+20×2=210 OK </v>
      </c>
      <c r="G82" s="4"/>
      <c r="H82" s="4"/>
      <c r="I82" s="4"/>
      <c r="J82" s="5"/>
      <c r="K82" t="s">
        <v>8</v>
      </c>
      <c r="L82" s="27">
        <f>L76-K77</f>
        <v>6600</v>
      </c>
      <c r="M82" s="1" t="s">
        <v>20</v>
      </c>
      <c r="N82" s="2">
        <f>U63*10</f>
        <v>34.5</v>
      </c>
      <c r="O82" s="1" t="s">
        <v>368</v>
      </c>
      <c r="P82" s="1" t="str">
        <f>CONCATENATE("λy=",O83,P83,Q83,"+20×",R83,"=",S83,T83)</f>
        <v xml:space="preserve">λy=191.4 &lt; 170+20×2=210 OK </v>
      </c>
      <c r="S82" t="s">
        <v>274</v>
      </c>
      <c r="T82" s="27">
        <f>L82/4</f>
        <v>1650</v>
      </c>
      <c r="U82" s="1" t="s">
        <v>275</v>
      </c>
      <c r="V82" t="str">
        <f>CONCATENATE("Lb・H/Af=",Z82,"×",AA82,"/",AB82,"=",AC82,AD82,AE82,AF82)</f>
        <v xml:space="preserve">Lb・H/Af=1650×500/2720=304 &gt; 250 NG </v>
      </c>
      <c r="Z82">
        <f>T82</f>
        <v>1650</v>
      </c>
      <c r="AA82">
        <f>L63</f>
        <v>500</v>
      </c>
      <c r="AB82">
        <f>ROUND(M63*O63,0)</f>
        <v>2720</v>
      </c>
      <c r="AC82">
        <f>ROUNDUP(Z82*AA82/AB82,0)</f>
        <v>304</v>
      </c>
      <c r="AD82" t="str">
        <f>IF(AC82&gt;AE82," &gt; "," &lt; ")</f>
        <v xml:space="preserve"> &gt; </v>
      </c>
      <c r="AE82">
        <f>IF(L74=1,250,200)</f>
        <v>250</v>
      </c>
      <c r="AF82" t="str">
        <f>IF(AC82&gt;AE82," NG "," OK ")</f>
        <v xml:space="preserve"> NG </v>
      </c>
    </row>
    <row r="83" spans="1:32">
      <c r="A83" s="6"/>
      <c r="B83" s="45" t="str">
        <f>CONCATENATE(K82,L82,"mm,  ",M82,N82,"mm,  ",K83,L83)</f>
        <v>L=6600mm,  iy=34.5mm,  n=2</v>
      </c>
      <c r="C83" s="28"/>
      <c r="D83" s="28"/>
      <c r="E83" s="28"/>
      <c r="F83" s="28" t="str">
        <f>IF(N83=1,"",V83)</f>
        <v/>
      </c>
      <c r="G83" s="28"/>
      <c r="H83" s="28"/>
      <c r="I83" s="28"/>
      <c r="J83" s="7"/>
      <c r="K83" s="1" t="s">
        <v>66</v>
      </c>
      <c r="L83" s="27">
        <v>2</v>
      </c>
      <c r="M83" s="35" t="s">
        <v>276</v>
      </c>
      <c r="N83" s="27">
        <v>1</v>
      </c>
      <c r="O83">
        <f>ROUNDUP(L82/N82,1)</f>
        <v>191.4</v>
      </c>
      <c r="P83" t="str">
        <f>IF(O83&gt;S83," &gt; "," &lt; ")</f>
        <v xml:space="preserve"> &lt; </v>
      </c>
      <c r="Q83">
        <f>IF(L74=1,170,130)</f>
        <v>170</v>
      </c>
      <c r="R83">
        <f>L83</f>
        <v>2</v>
      </c>
      <c r="S83">
        <f>Q83+20*R83</f>
        <v>210</v>
      </c>
      <c r="T83" t="str">
        <f>IF(O83&gt;S83," NG "," OK ")</f>
        <v xml:space="preserve"> OK </v>
      </c>
      <c r="U83" s="1"/>
      <c r="V83" s="1" t="str">
        <f>CONCATENATE("Lb/iy=",Z83,"/",AA83,"=",AB83,AC83,AD83,AE83)</f>
        <v xml:space="preserve">Lb/iy=1650/34.5=47.9 &lt; 65 OK </v>
      </c>
      <c r="Z83">
        <f>T82</f>
        <v>1650</v>
      </c>
      <c r="AA83" s="31">
        <f>N82</f>
        <v>34.5</v>
      </c>
      <c r="AB83">
        <f>ROUNDUP(Z83/AA83,1)</f>
        <v>47.9</v>
      </c>
      <c r="AC83" t="str">
        <f>IF(AB83&gt;AD83," &gt; "," &lt; ")</f>
        <v xml:space="preserve"> &lt; </v>
      </c>
      <c r="AD83">
        <f>IF(L74=1,65,50)</f>
        <v>65</v>
      </c>
      <c r="AE83" t="str">
        <f>IF(AB83&gt;AD83," NG "," OK ")</f>
        <v xml:space="preserve"> OK </v>
      </c>
    </row>
    <row r="84" spans="1:32">
      <c r="A84" s="43" t="str">
        <f>IF(AND(M67=1,M84=1),"-","")</f>
        <v/>
      </c>
      <c r="B84" s="1" t="str">
        <f>IF(AND(M67=1,M84=1),"Check web bolts strength","")</f>
        <v/>
      </c>
      <c r="D84" s="4"/>
      <c r="E84" s="4"/>
      <c r="F84" s="4"/>
      <c r="G84" s="4"/>
      <c r="H84" s="4"/>
      <c r="I84" s="4"/>
      <c r="J84" s="5"/>
      <c r="K84" t="s">
        <v>278</v>
      </c>
      <c r="M84" s="27">
        <v>2</v>
      </c>
      <c r="N84" t="s">
        <v>277</v>
      </c>
    </row>
    <row r="85" spans="1:32">
      <c r="A85" s="9"/>
      <c r="B85" s="1" t="str">
        <f>IF(AND(M67=1,M84=1),CONCATENATE(K85,"-M",L85,", Ab=",M85,", ",N85,", σu=",O85,"N/mm2, ",P85,Q85,R85,U85),"")</f>
        <v/>
      </c>
      <c r="J85" s="10"/>
      <c r="K85" s="27">
        <v>4</v>
      </c>
      <c r="L85" s="100">
        <v>22</v>
      </c>
      <c r="M85">
        <f>ROUND(L85^2/4*PI(),0)</f>
        <v>380</v>
      </c>
      <c r="N85" s="27" t="s">
        <v>88</v>
      </c>
      <c r="O85" s="27">
        <v>1000</v>
      </c>
      <c r="P85" t="s">
        <v>87</v>
      </c>
      <c r="Q85">
        <f>ROUND(0.6*M85*O85/1000,1)</f>
        <v>228</v>
      </c>
      <c r="R85" s="1" t="s">
        <v>292</v>
      </c>
      <c r="U85" s="96">
        <f>60*(K85-1)</f>
        <v>180</v>
      </c>
    </row>
    <row r="86" spans="1:32">
      <c r="A86" s="9"/>
      <c r="B86" t="str">
        <f>IF(AND(M67=1,M84=1),CONCATENATE(L86,M86,N86," Qu=",O86,"×",M86,"=",P86,"kN",Q86,R86,S86,T86),"")</f>
        <v/>
      </c>
      <c r="D86" s="1"/>
      <c r="J86" s="10"/>
      <c r="L86" s="30" t="s">
        <v>293</v>
      </c>
      <c r="M86" s="27">
        <f>K85-2*M87</f>
        <v>2</v>
      </c>
      <c r="N86" t="str">
        <f>IF(M86=1,"bolt at the center", "bolts at the center")</f>
        <v>bolts at the center</v>
      </c>
      <c r="O86">
        <f>Q85</f>
        <v>228</v>
      </c>
      <c r="P86">
        <f>M86*O86</f>
        <v>456</v>
      </c>
      <c r="Q86" t="str">
        <f>IF(P86&gt;S86," &gt; "," &gt; ")</f>
        <v xml:space="preserve"> &gt; </v>
      </c>
      <c r="R86" t="s">
        <v>9</v>
      </c>
      <c r="S86" s="31">
        <f>P78</f>
        <v>236.2</v>
      </c>
      <c r="T86" t="str">
        <f>IF(P86&gt;S86," OK "," NG ")</f>
        <v xml:space="preserve"> OK </v>
      </c>
    </row>
    <row r="87" spans="1:32">
      <c r="A87" s="9"/>
      <c r="B87" t="str">
        <f>IF(AND(M67=1,M84=1),CONCATENATE(L87,M87,N87,M87,"×",P87,"×",Q87,"/1000=",R87,S87,T87,U87,V87),"")</f>
        <v/>
      </c>
      <c r="D87" s="1"/>
      <c r="J87" s="10"/>
      <c r="L87" s="30" t="s">
        <v>294</v>
      </c>
      <c r="M87" s="27">
        <v>1</v>
      </c>
      <c r="N87" t="str">
        <f>IF(M87=1,"bolt at the edge", "bolts at the edge")</f>
        <v>bolt at the edge</v>
      </c>
      <c r="P87">
        <f>Q85</f>
        <v>228</v>
      </c>
      <c r="Q87">
        <f>U85</f>
        <v>180</v>
      </c>
      <c r="R87">
        <f>ROUND(M87*P87*Q87/1000,1)</f>
        <v>41</v>
      </c>
      <c r="S87" t="str">
        <f>IF(R87&gt;U87," &gt; "," &gt; ")</f>
        <v xml:space="preserve"> &gt; </v>
      </c>
      <c r="T87" t="s">
        <v>77</v>
      </c>
      <c r="U87" s="31">
        <f>R67</f>
        <v>51</v>
      </c>
      <c r="V87" t="str">
        <f>IF(R87&gt;U87,"kNm OK ","kNm NG ")</f>
        <v xml:space="preserve">kNm NG </v>
      </c>
    </row>
    <row r="88" spans="1:32">
      <c r="A88" s="9"/>
      <c r="B88" t="str">
        <f>IF(OR(M84=2,R87&gt;U87),"",IF(M67=1,CONCATENATE(K88,M88,N88,O88,P88,Q88,R88,S88,T88,U88,W88,X88),""))</f>
        <v/>
      </c>
      <c r="D88" s="1"/>
      <c r="J88" s="10"/>
      <c r="K88" t="s">
        <v>296</v>
      </c>
      <c r="M88" t="s">
        <v>140</v>
      </c>
      <c r="N88" s="27">
        <v>80</v>
      </c>
      <c r="O88" t="s">
        <v>141</v>
      </c>
      <c r="P88" s="27">
        <v>60</v>
      </c>
      <c r="Q88" s="31" t="s">
        <v>91</v>
      </c>
      <c r="R88" s="27">
        <f>T67</f>
        <v>12</v>
      </c>
      <c r="S88" t="s">
        <v>92</v>
      </c>
      <c r="T88" s="27">
        <f>N88+P88-4*R88</f>
        <v>92</v>
      </c>
      <c r="U88" s="1" t="s">
        <v>295</v>
      </c>
      <c r="W88" s="27">
        <f>(K85-1)*60+2*40-N88</f>
        <v>180</v>
      </c>
      <c r="X88" t="s">
        <v>10</v>
      </c>
    </row>
    <row r="89" spans="1:32">
      <c r="A89" s="9"/>
      <c r="B89" t="str">
        <f>IF(OR(M84=2,R87&gt;U87),"",IF(M67=1,CONCATENATE(K89,L89,"×",M89,"×",N89,O89,P89,Q89),""))</f>
        <v/>
      </c>
      <c r="D89" s="1"/>
      <c r="J89" s="10"/>
      <c r="K89" s="1" t="s">
        <v>89</v>
      </c>
      <c r="L89" s="1">
        <f>R88</f>
        <v>12</v>
      </c>
      <c r="M89">
        <f>T88</f>
        <v>92</v>
      </c>
      <c r="N89" s="27">
        <f>IF(L74=1,400,490)</f>
        <v>400</v>
      </c>
      <c r="O89" s="11" t="s">
        <v>137</v>
      </c>
      <c r="P89">
        <f>ROUNDDOWN(0.7*L89*M89*N89/1732,0)</f>
        <v>178</v>
      </c>
      <c r="Q89" t="s">
        <v>17</v>
      </c>
    </row>
    <row r="90" spans="1:32">
      <c r="A90" s="6"/>
      <c r="B90" s="28" t="str">
        <f>IF(OR(M84=2,R87&gt;U87),"",IF(M67=1,CONCATENATE(K90,L90,"+",M90,"×",O90,"/1000=",L90,"+",P90,"=",Q90,R90,S90,T90),""))</f>
        <v/>
      </c>
      <c r="C90" s="28"/>
      <c r="D90" s="45"/>
      <c r="E90" s="28"/>
      <c r="F90" s="28"/>
      <c r="G90" s="28"/>
      <c r="H90" s="28"/>
      <c r="I90" s="28"/>
      <c r="J90" s="7"/>
      <c r="K90" t="s">
        <v>90</v>
      </c>
      <c r="L90" s="31">
        <f>R87</f>
        <v>41</v>
      </c>
      <c r="M90" s="31">
        <f>P89</f>
        <v>178</v>
      </c>
      <c r="N90" s="29" t="s">
        <v>297</v>
      </c>
      <c r="O90" s="1">
        <f>W88</f>
        <v>180</v>
      </c>
      <c r="P90">
        <f>ROUND(M90*O90/1000,1)</f>
        <v>32</v>
      </c>
      <c r="Q90" s="39">
        <f>L90+P90</f>
        <v>73</v>
      </c>
      <c r="R90" t="str">
        <f>IF(Q90&gt;T90," &gt; "," &gt; ")</f>
        <v xml:space="preserve"> &gt; </v>
      </c>
      <c r="S90" s="2">
        <f>U87</f>
        <v>51</v>
      </c>
      <c r="T90" t="str">
        <f>IF(Q90&gt;S90,"kNm  OK ","kNm  NG ")</f>
        <v xml:space="preserve">kNm  OK </v>
      </c>
    </row>
    <row r="91" spans="1:32">
      <c r="A91" t="str">
        <f>IF(K91="","",K91)</f>
        <v>ERBS section check</v>
      </c>
      <c r="K91" s="27" t="s">
        <v>262</v>
      </c>
      <c r="R91" s="35"/>
      <c r="S91" s="35"/>
    </row>
    <row r="92" spans="1:32">
      <c r="A92" s="3" t="s">
        <v>263</v>
      </c>
      <c r="B92" s="4"/>
      <c r="C92" s="97"/>
      <c r="D92" s="4"/>
      <c r="E92" s="5"/>
      <c r="F92" s="8" t="str">
        <f>CONCATENATE("Position: ",N92,O92,P92,Q92,R92,"-",S92,T92,"  ",U92)</f>
        <v>Position: 2FL Level,  2axis,　A-B   2G1y</v>
      </c>
      <c r="G92" s="8"/>
      <c r="H92" s="8"/>
      <c r="I92" s="8"/>
      <c r="J92" s="61"/>
      <c r="K92" s="34" t="s">
        <v>97</v>
      </c>
      <c r="L92" t="s">
        <v>147</v>
      </c>
      <c r="M92" s="27">
        <v>24</v>
      </c>
      <c r="N92" s="27" t="str">
        <f>INDEX(str!A:U,MATCH(M92,str!A:A,0),2)</f>
        <v>2FL</v>
      </c>
      <c r="O92" t="s">
        <v>267</v>
      </c>
      <c r="P92" s="27">
        <f>INDEX(str!A:U,MATCH(M92,str!A:A,0),3)</f>
        <v>2</v>
      </c>
      <c r="Q92" t="s">
        <v>266</v>
      </c>
      <c r="R92" s="27" t="str">
        <f>INDEX(str!A:U,MATCH(M92,str!A:A,0),4)</f>
        <v>A</v>
      </c>
      <c r="S92" s="27" t="str">
        <f>INDEX(str!A:U,MATCH(M92,str!A:A,0),5)</f>
        <v>B</v>
      </c>
      <c r="T92" t="s">
        <v>268</v>
      </c>
      <c r="U92" s="27" t="str">
        <f>INDEX(str!A:U,MATCH(M92,str!A:A,0),6)</f>
        <v>2G1y</v>
      </c>
      <c r="V92" s="27"/>
      <c r="W92" s="27"/>
      <c r="X92" s="27"/>
      <c r="Y92" s="56"/>
    </row>
    <row r="93" spans="1:32">
      <c r="A93" s="116" t="s">
        <v>265</v>
      </c>
      <c r="B93" t="str">
        <f>CONCATENATE(K93,L93,"×",M93,"×",N93,"×",O93,"×r",P93,") Zpx=",R93,",A=",S93,", Iy=",T93,",iy=",U93)</f>
        <v>Beam: reduced section H-600×170×12×19×r0) Zpx=2824,A=132, Iy=1564,iy=3.44</v>
      </c>
      <c r="F93" s="4"/>
      <c r="G93" s="4"/>
      <c r="H93" s="4"/>
      <c r="I93" s="4"/>
      <c r="J93" s="5"/>
      <c r="K93" t="s">
        <v>269</v>
      </c>
      <c r="L93" s="66">
        <f>IF(M100=0,M99,M100)</f>
        <v>600</v>
      </c>
      <c r="M93" s="67">
        <f>IF(N100=0,N99,N100)</f>
        <v>170</v>
      </c>
      <c r="N93" s="74">
        <v>12</v>
      </c>
      <c r="O93" s="75">
        <v>19</v>
      </c>
      <c r="P93" s="76">
        <v>0</v>
      </c>
      <c r="Q93" s="35"/>
      <c r="R93" s="65">
        <f>ROUND(1/4*(M93*L93^2-M93*(L93-2*O93)^2+N93*(L93-2*O93)^2)/1000+4*0.2146*P93^2*(L93/2-O93-0.2234*P93)/1000,0)</f>
        <v>2824</v>
      </c>
      <c r="S93" s="69">
        <f>ROUND((L93*M93-(L93-2*O93)*(M93-N93)+4*(P93^2-PI()*P93^2/4))/100,1)</f>
        <v>132</v>
      </c>
      <c r="T93" s="70">
        <f>ROUND(1/12*(2*O93*M93^3+(L93-2*O93)*N93^3)/10000+(4*0.2146*P93^2*(N93/2+0.2234*P93)^2+4*0.0075*P93^4)/10000,0)</f>
        <v>1564</v>
      </c>
      <c r="U93" s="71">
        <f>ROUND(SQRT(T93/S93),2)</f>
        <v>3.44</v>
      </c>
    </row>
    <row r="94" spans="1:32">
      <c r="A94" s="43" t="s">
        <v>264</v>
      </c>
      <c r="B94" t="str">
        <f>CONCATENATE(K94,L94,"×",M94,"×",N94,"×",O94,"×r",P94,") Zpx=",R94)</f>
        <v>Beam: column face H-600×360×0×19×r0) Zpx=3974</v>
      </c>
      <c r="J94" s="10"/>
      <c r="K94" t="s">
        <v>364</v>
      </c>
      <c r="L94" s="66">
        <f>L93</f>
        <v>600</v>
      </c>
      <c r="M94" s="67">
        <f>C99</f>
        <v>360</v>
      </c>
      <c r="N94" s="74">
        <v>0</v>
      </c>
      <c r="O94" s="68">
        <f>O93</f>
        <v>19</v>
      </c>
      <c r="P94" s="76">
        <v>0</v>
      </c>
      <c r="Q94" s="35"/>
      <c r="R94" s="65">
        <f>ROUND(1/4*(M94*L94^2-M94*(L94-2*O94)^2+N94*(L94-2*O94)^2)/1000+4*0.2146*P94^2*(L94/2-O94-0.2234*P94)/1000,0)</f>
        <v>3974</v>
      </c>
    </row>
    <row r="95" spans="1:32">
      <c r="A95" s="43" t="s">
        <v>264</v>
      </c>
      <c r="B95" t="str">
        <f>CONCATENATE(K95,M95,"×",N95,V95)</f>
        <v>column section □-400×19 (BCR295)</v>
      </c>
      <c r="F95" t="str">
        <f>IF(M97=1,CONCATENATE("  ",L96,M96,", ",N96,O96,", ",P96,Q96,", ",R96,S96),"")</f>
        <v/>
      </c>
      <c r="J95" s="10"/>
      <c r="K95" t="s">
        <v>365</v>
      </c>
      <c r="L95" s="35"/>
      <c r="M95" s="72">
        <v>400</v>
      </c>
      <c r="N95" s="73">
        <v>19</v>
      </c>
      <c r="O95" s="73"/>
      <c r="P95" s="30" t="s">
        <v>281</v>
      </c>
      <c r="Q95" s="27">
        <v>1</v>
      </c>
      <c r="R95" s="11" t="s">
        <v>115</v>
      </c>
      <c r="U95">
        <f>IF(Q95=1,295,IF(Q95=2,325,Y95))</f>
        <v>295</v>
      </c>
      <c r="V95" t="str">
        <f>IF(Q95=1," (BCR295)",IF(Q95=2," (BCP325)",X95))</f>
        <v xml:space="preserve"> (BCR295)</v>
      </c>
      <c r="W95" s="30" t="s">
        <v>116</v>
      </c>
      <c r="X95" s="27" t="s">
        <v>145</v>
      </c>
      <c r="Y95" s="27">
        <v>235</v>
      </c>
    </row>
    <row r="96" spans="1:32">
      <c r="A96" s="6"/>
      <c r="B96" s="28" t="str">
        <f>CONCATENATE(" Internodal distance L=",J105)</f>
        <v xml:space="preserve"> Internodal distance L=7000 mm</v>
      </c>
      <c r="C96" s="28"/>
      <c r="D96" s="28"/>
      <c r="E96" s="28"/>
      <c r="F96" s="28" t="str">
        <f>IF(M97=1,CONCATENATE("  tg=",T97,"mm ",O97,P97,", ",Q97,R97,"kNm"),"")</f>
        <v/>
      </c>
      <c r="G96" s="28"/>
      <c r="H96" s="28"/>
      <c r="I96" s="28"/>
      <c r="J96" s="7"/>
      <c r="L96" s="30" t="s">
        <v>79</v>
      </c>
      <c r="M96" s="27">
        <f>L94-2*O94</f>
        <v>562</v>
      </c>
      <c r="N96" s="30" t="s">
        <v>73</v>
      </c>
      <c r="O96" s="27">
        <f>M95-2*N95</f>
        <v>362</v>
      </c>
      <c r="P96" s="30" t="s">
        <v>74</v>
      </c>
      <c r="Q96">
        <f>MIN(1,ROUND(4*N95/M96*SQRT((O96*U95)/(T97*O104)),3))</f>
        <v>0.83199999999999996</v>
      </c>
      <c r="R96" s="35" t="s">
        <v>284</v>
      </c>
      <c r="S96" s="27">
        <f>(5-1)*60+2*40</f>
        <v>320</v>
      </c>
    </row>
    <row r="97" spans="1:32">
      <c r="A97" s="46" t="s">
        <v>264</v>
      </c>
      <c r="B97" s="4" t="str">
        <f>CONCATENATE("RBS shape",IF(M98=0,"",K98))</f>
        <v>RBS shape</v>
      </c>
      <c r="C97" s="4"/>
      <c r="D97" s="4"/>
      <c r="E97" s="4"/>
      <c r="F97" s="4"/>
      <c r="G97" s="4"/>
      <c r="H97" s="4"/>
      <c r="I97" s="4"/>
      <c r="J97" s="115" t="str">
        <f>IF(U98&lt;5,"[スパン/梁成]&lt;5 : チェック","")</f>
        <v/>
      </c>
      <c r="K97" t="s">
        <v>280</v>
      </c>
      <c r="L97" s="35"/>
      <c r="M97" s="27">
        <v>0</v>
      </c>
      <c r="O97" s="30" t="s">
        <v>76</v>
      </c>
      <c r="P97">
        <f>ROUND((S96^2*T97)/4,0)</f>
        <v>307200</v>
      </c>
      <c r="Q97" s="30" t="s">
        <v>77</v>
      </c>
      <c r="R97">
        <f>ROUND(Q96*P97*U95/1000000,0)</f>
        <v>75</v>
      </c>
      <c r="S97" s="30" t="s">
        <v>117</v>
      </c>
      <c r="T97" s="27">
        <f>N93</f>
        <v>12</v>
      </c>
    </row>
    <row r="98" spans="1:32">
      <c r="A98" s="9"/>
      <c r="B98" s="30" t="s">
        <v>5</v>
      </c>
      <c r="C98" s="41">
        <f>IF(M100=0,M99,M100)</f>
        <v>600</v>
      </c>
      <c r="F98" t="str">
        <f>CONCATENATE(L101,M101,"mm",N101,O101,"mm")</f>
        <v xml:space="preserve">  H type  f=2bf/3=200mm   f1=0.2f=40mm</v>
      </c>
      <c r="J98" s="10"/>
      <c r="K98" s="117" t="str">
        <f>IF(M98=0,"both end RBS",IF(M98=1,"  (left pin)","  (right pin)"))</f>
        <v>both end RBS</v>
      </c>
      <c r="L98" s="98"/>
      <c r="M98" s="27">
        <v>0</v>
      </c>
      <c r="N98" s="11" t="s">
        <v>282</v>
      </c>
      <c r="R98" s="30" t="s">
        <v>283</v>
      </c>
      <c r="S98">
        <f>O107-P107</f>
        <v>6600</v>
      </c>
      <c r="T98" s="30" t="s">
        <v>196</v>
      </c>
      <c r="U98">
        <f>IF(M98=0,ROUNDUP(S98/L94,2),ROUNDUP(2*S98/L94,2))</f>
        <v>11</v>
      </c>
    </row>
    <row r="99" spans="1:32">
      <c r="A99" s="9"/>
      <c r="B99" s="30" t="s">
        <v>56</v>
      </c>
      <c r="C99" s="41">
        <f>IF(L100=0,L99,L100)</f>
        <v>360</v>
      </c>
      <c r="D99" s="30" t="s">
        <v>4</v>
      </c>
      <c r="E99" s="41">
        <f>IF(O100=0,O99,O100)</f>
        <v>300</v>
      </c>
      <c r="F99" t="str">
        <f>CONCATENATE(L102,M102,"mm",N102,O102,"mm")</f>
        <v xml:space="preserve">  BH type f=1.2bf=360mm   f1=0.1f=36mm</v>
      </c>
      <c r="J99" s="10"/>
      <c r="K99" t="s">
        <v>286</v>
      </c>
      <c r="L99" s="92">
        <f>O99</f>
        <v>300</v>
      </c>
      <c r="M99" s="99">
        <f>INDEX(List!A:S,MATCH(shs!K92,List!A:A,0),2)</f>
        <v>600</v>
      </c>
      <c r="N99" s="90">
        <f>INDEX(List!A:S,MATCH(shs!K92,List!A:A,0),3)</f>
        <v>170</v>
      </c>
      <c r="O99" s="79">
        <f>INDEX(List!A:S,MATCH(shs!K92,List!A:A,0),4)</f>
        <v>300</v>
      </c>
      <c r="P99" s="81">
        <f>INDEX(List!A:S,MATCH(shs!K92,List!A:A,0),5)</f>
        <v>200</v>
      </c>
      <c r="Q99" s="83">
        <f>INDEX(List!A:S,MATCH(shs!K92,List!A:A,0),6)</f>
        <v>180</v>
      </c>
      <c r="R99" s="85">
        <f>INDEX(List!A:S,MATCH(shs!K92,List!A:A,0),7)</f>
        <v>390</v>
      </c>
      <c r="S99" s="87">
        <f>INDEX(List!A:S,MATCH(shs!K92,List!A:A,0),8)</f>
        <v>65</v>
      </c>
      <c r="T99" s="76">
        <f>INDEX(List!A:S,MATCH(shs!K92,List!A:A,0),9)</f>
        <v>325</v>
      </c>
    </row>
    <row r="100" spans="1:32">
      <c r="A100" s="9"/>
      <c r="B100" s="30" t="s">
        <v>52</v>
      </c>
      <c r="C100" s="41">
        <f>IF(N100=0,N99,N100)</f>
        <v>170</v>
      </c>
      <c r="D100" s="30" t="s">
        <v>53</v>
      </c>
      <c r="E100" s="41">
        <f>IF(P100=0,P99,P100)</f>
        <v>200</v>
      </c>
      <c r="F100" t="str">
        <f>CONCATENATE("  bf1/bf0=",ROUND(C100/E100,3),IF(ROUND(C100/E100,3)&lt;=0.85," &lt; "," &gt; "),"0.85",IF(ROUND(C100/E100,3)&lt;=0.85,"OK","NG"))</f>
        <v xml:space="preserve">  bf1/bf0=0.85 &lt; 0.85OK</v>
      </c>
      <c r="J100" s="10"/>
      <c r="K100" t="s">
        <v>285</v>
      </c>
      <c r="L100" s="93">
        <v>360</v>
      </c>
      <c r="M100" s="78">
        <v>0</v>
      </c>
      <c r="N100" s="91">
        <v>0</v>
      </c>
      <c r="O100" s="80">
        <v>0</v>
      </c>
      <c r="P100" s="82">
        <v>0</v>
      </c>
      <c r="Q100" s="84">
        <v>0</v>
      </c>
      <c r="R100" s="86">
        <v>0</v>
      </c>
      <c r="S100" s="88">
        <v>0</v>
      </c>
      <c r="T100" s="89">
        <v>0</v>
      </c>
    </row>
    <row r="101" spans="1:32">
      <c r="A101" s="9"/>
      <c r="B101" s="30" t="s">
        <v>6</v>
      </c>
      <c r="C101" s="41">
        <f>IF(Q100=0,Q99,Q100)</f>
        <v>180</v>
      </c>
      <c r="D101" t="s">
        <v>11</v>
      </c>
      <c r="F101" s="30" t="s">
        <v>12</v>
      </c>
      <c r="G101" s="40">
        <f>C101/E99</f>
        <v>0.6</v>
      </c>
      <c r="H101" t="str">
        <f>IF(AND(0.5&lt;=G101,G101&lt;=0.75),"OK","NG")</f>
        <v>OK</v>
      </c>
      <c r="J101" s="10"/>
      <c r="L101" t="s">
        <v>270</v>
      </c>
      <c r="M101">
        <f>ROUND(2*E99/3,0)</f>
        <v>200</v>
      </c>
      <c r="N101" t="s">
        <v>54</v>
      </c>
      <c r="O101">
        <f>ROUND(0.2*M101,0)</f>
        <v>40</v>
      </c>
    </row>
    <row r="102" spans="1:32">
      <c r="A102" s="9"/>
      <c r="B102" s="30" t="s">
        <v>1</v>
      </c>
      <c r="C102" s="41">
        <f>IF(R100=0,R99,R100)</f>
        <v>390</v>
      </c>
      <c r="D102" t="s">
        <v>13</v>
      </c>
      <c r="F102" s="30" t="s">
        <v>14</v>
      </c>
      <c r="G102" s="40">
        <f>C102/C98</f>
        <v>0.65</v>
      </c>
      <c r="H102" t="str">
        <f>IF(AND(0.65&lt;=G102,G102&lt;=0.85),"OK","NG")</f>
        <v>OK</v>
      </c>
      <c r="J102" s="10"/>
      <c r="L102" t="s">
        <v>271</v>
      </c>
      <c r="M102">
        <f>ROUND(1.2*E99,0)</f>
        <v>360</v>
      </c>
      <c r="N102" t="s">
        <v>55</v>
      </c>
      <c r="O102">
        <f>ROUND(0.1*M102,0)</f>
        <v>36</v>
      </c>
    </row>
    <row r="103" spans="1:32">
      <c r="A103" s="9"/>
      <c r="B103" s="30" t="s">
        <v>2</v>
      </c>
      <c r="C103" s="41">
        <f>IF(S100=0,S99,S100)</f>
        <v>65</v>
      </c>
      <c r="D103" t="s">
        <v>16</v>
      </c>
      <c r="F103" s="30" t="s">
        <v>15</v>
      </c>
      <c r="G103" s="40">
        <f>C103/E99</f>
        <v>0.21666666666666667</v>
      </c>
      <c r="H103" t="str">
        <f>IF(AND(0.2&lt;=G103,G103&lt;=0.25),"OK","NG")</f>
        <v>OK</v>
      </c>
      <c r="J103" s="10"/>
    </row>
    <row r="104" spans="1:32">
      <c r="A104" s="6"/>
      <c r="B104" s="47" t="s">
        <v>3</v>
      </c>
      <c r="C104" s="48">
        <f>ROUNDUP((4*C103^2+C102^2)/(8*C103),0)</f>
        <v>325</v>
      </c>
      <c r="D104" s="28" t="s">
        <v>96</v>
      </c>
      <c r="E104" s="49"/>
      <c r="F104" s="28" t="str">
        <f>CONCATENATE("b/2c=",ROUND(C102/(2*C103),1),"：flange reducing angle around b/2c=2.9")</f>
        <v>b/2c=3：flange reducing angle around b/2c=2.9</v>
      </c>
      <c r="G104" s="28"/>
      <c r="H104" s="28"/>
      <c r="I104" s="28"/>
      <c r="J104" s="7"/>
      <c r="K104" s="35" t="s">
        <v>287</v>
      </c>
      <c r="L104" s="27">
        <v>1</v>
      </c>
      <c r="M104" s="11" t="s">
        <v>68</v>
      </c>
      <c r="O104">
        <f>IF(L104=1,235,325)</f>
        <v>235</v>
      </c>
      <c r="P104" t="str">
        <f>IF(L104=1," (SN400)"," (SN490)")</f>
        <v xml:space="preserve"> (SN400)</v>
      </c>
    </row>
    <row r="105" spans="1:32">
      <c r="A105" s="46" t="s">
        <v>264</v>
      </c>
      <c r="B105" s="50" t="s">
        <v>272</v>
      </c>
      <c r="C105" s="51"/>
      <c r="D105" s="50" t="str">
        <f>CONCATENATE("σy=",O104," N/mm2 ", P104)</f>
        <v>σy=235 N/mm2  (SN400)</v>
      </c>
      <c r="E105" s="4"/>
      <c r="F105" s="4"/>
      <c r="G105" s="52" t="s">
        <v>57</v>
      </c>
      <c r="H105" s="50" t="str">
        <f>CONCATENATE(L105," kN")</f>
        <v>39 kN</v>
      </c>
      <c r="I105" s="51" t="s">
        <v>8</v>
      </c>
      <c r="J105" s="53" t="str">
        <f>CONCATENATE(L106," mm")</f>
        <v>7000 mm</v>
      </c>
      <c r="K105" s="30" t="s">
        <v>118</v>
      </c>
      <c r="L105" s="13">
        <f>IF(Q105=0,MAX(N105:O105),Q105)</f>
        <v>39</v>
      </c>
      <c r="M105" t="s">
        <v>17</v>
      </c>
      <c r="N105" s="94">
        <f>VLOOKUP(M92,str!A:Y,19,FALSE)</f>
        <v>39</v>
      </c>
      <c r="O105" s="95">
        <f>VLOOKUP(M92,str!A:Y,21,FALSE)</f>
        <v>39</v>
      </c>
      <c r="P105" t="s">
        <v>288</v>
      </c>
      <c r="Q105" s="27">
        <v>0</v>
      </c>
    </row>
    <row r="106" spans="1:32">
      <c r="A106" s="9"/>
      <c r="B106" s="29" t="s">
        <v>58</v>
      </c>
      <c r="C106" t="str">
        <f>CONCATENATE(C101,"+",C102,"/2 = ",O106,"mm")</f>
        <v>180+390/2 = 375mm</v>
      </c>
      <c r="G106" s="29" t="s">
        <v>59</v>
      </c>
      <c r="H106" s="33">
        <v>1.1499999999999999</v>
      </c>
      <c r="I106" s="29" t="s">
        <v>60</v>
      </c>
      <c r="J106" s="44">
        <v>1.1000000000000001</v>
      </c>
      <c r="K106" s="30" t="s">
        <v>8</v>
      </c>
      <c r="L106" s="27">
        <f>IF(Q106=0,VLOOKUP(M92,str!A:Y,8,FALSE),Q106)</f>
        <v>7000</v>
      </c>
      <c r="M106" t="s">
        <v>10</v>
      </c>
      <c r="N106" s="30" t="s">
        <v>58</v>
      </c>
      <c r="O106" s="42">
        <f>C101+C102/2</f>
        <v>375</v>
      </c>
      <c r="P106" s="30" t="s">
        <v>289</v>
      </c>
      <c r="Q106" s="27">
        <f>VLOOKUP(M92,str!A:Y,8,FALSE)*0</f>
        <v>0</v>
      </c>
    </row>
    <row r="107" spans="1:32">
      <c r="A107" s="9"/>
      <c r="B107" s="29" t="s">
        <v>7</v>
      </c>
      <c r="C107" t="str">
        <f>CONCATENATE(O107,"-",P107,"-",Q107,"×",R107,"=",S107,"mm")</f>
        <v>7000-400-2×375=5850mm</v>
      </c>
      <c r="F107" s="29" t="s">
        <v>61</v>
      </c>
      <c r="G107" t="str">
        <f>CONCATENATE(X107,"×",Y107,"×",Z107,"×",AA107,AB107,AC107," kNm")</f>
        <v>1.15×1.1×2824×235/1000 = 839.5 kNm</v>
      </c>
      <c r="J107" s="10"/>
      <c r="K107" s="27">
        <f>M95</f>
        <v>400</v>
      </c>
      <c r="L107" t="s">
        <v>290</v>
      </c>
      <c r="O107">
        <f>L106</f>
        <v>7000</v>
      </c>
      <c r="P107">
        <f>K107</f>
        <v>400</v>
      </c>
      <c r="Q107">
        <f>IF(M98=0,2,1)</f>
        <v>2</v>
      </c>
      <c r="R107">
        <f>O106</f>
        <v>375</v>
      </c>
      <c r="S107" s="1">
        <f>O107-P107-Q107*R107</f>
        <v>5850</v>
      </c>
      <c r="T107" t="s">
        <v>291</v>
      </c>
      <c r="V107" t="s">
        <v>64</v>
      </c>
      <c r="X107">
        <f>H106</f>
        <v>1.1499999999999999</v>
      </c>
      <c r="Y107">
        <f>J106</f>
        <v>1.1000000000000001</v>
      </c>
      <c r="Z107" s="32">
        <f>ROUND(R93,0)</f>
        <v>2824</v>
      </c>
      <c r="AA107">
        <f>O104</f>
        <v>235</v>
      </c>
      <c r="AB107" t="s">
        <v>70</v>
      </c>
      <c r="AC107" s="2">
        <f>ROUND(H106*J106*Z107*AA107/1000,1)</f>
        <v>839.5</v>
      </c>
    </row>
    <row r="108" spans="1:32">
      <c r="A108" s="9"/>
      <c r="B108" s="29" t="s">
        <v>9</v>
      </c>
      <c r="C108" t="str">
        <f>CONCATENATE(L108,"x",M108,"/",N108,"+",O108," = ",P108," kN")</f>
        <v>2x839.5/5.85+39 = 326 kN</v>
      </c>
      <c r="F108" s="29" t="s">
        <v>62</v>
      </c>
      <c r="G108" t="str">
        <f>CONCATENATE(R108,"×",S108,T108,U108,V108)</f>
        <v>326×375/1000 = 122.3kNm</v>
      </c>
      <c r="J108" s="10"/>
      <c r="K108" t="s">
        <v>9</v>
      </c>
      <c r="L108">
        <f>IF(M98=0,2,1)</f>
        <v>2</v>
      </c>
      <c r="M108" s="32">
        <f>AC107</f>
        <v>839.5</v>
      </c>
      <c r="N108">
        <f>S107/1000</f>
        <v>5.85</v>
      </c>
      <c r="O108">
        <f>L105</f>
        <v>39</v>
      </c>
      <c r="P108" s="2">
        <f>ROUND((L108*M108)/(N108)+O108,1)</f>
        <v>326</v>
      </c>
      <c r="Q108" t="s">
        <v>62</v>
      </c>
      <c r="R108" s="32">
        <f>P108</f>
        <v>326</v>
      </c>
      <c r="S108">
        <f>O106</f>
        <v>375</v>
      </c>
      <c r="T108" s="11" t="s">
        <v>70</v>
      </c>
      <c r="U108" s="2">
        <f>ROUND(R108*S108/1000,1)</f>
        <v>122.3</v>
      </c>
      <c r="V108" t="s">
        <v>19</v>
      </c>
    </row>
    <row r="109" spans="1:32">
      <c r="A109" s="9"/>
      <c r="B109" s="29" t="s">
        <v>63</v>
      </c>
      <c r="C109" t="str">
        <f>CONCATENATE(L109,"+",M109," = ",N109," kNm")</f>
        <v>839.5+122.3 = 961.8 kNm</v>
      </c>
      <c r="J109" s="10"/>
      <c r="K109" t="s">
        <v>71</v>
      </c>
      <c r="L109" s="31">
        <f>AC107</f>
        <v>839.5</v>
      </c>
      <c r="M109" s="31">
        <f>U108</f>
        <v>122.3</v>
      </c>
      <c r="N109" s="2">
        <f>L109+M109</f>
        <v>961.8</v>
      </c>
      <c r="P109" s="29" t="s">
        <v>67</v>
      </c>
      <c r="Q109" t="str">
        <f>CONCATENATE(R109," / ",S109," = ",T109,+U109)</f>
        <v>961.8 / 839.5 = 1.15(Stress increase rate at column face/hinge)</v>
      </c>
      <c r="R109" s="31">
        <f>N109</f>
        <v>961.8</v>
      </c>
      <c r="S109" s="31">
        <f>AC107</f>
        <v>839.5</v>
      </c>
      <c r="T109" s="12">
        <f>ROUND(R109/S109,2)</f>
        <v>1.1499999999999999</v>
      </c>
      <c r="U109" t="s">
        <v>279</v>
      </c>
    </row>
    <row r="110" spans="1:32">
      <c r="A110" s="9"/>
      <c r="C110" s="30" t="str">
        <f>IF(M97=1,X110,S110)</f>
        <v>RyZpσy=</v>
      </c>
      <c r="D110" t="str">
        <f>IF(M97=1,Z110,T110)</f>
        <v>1.1×3974×235/1000 = 1027.2kNm</v>
      </c>
      <c r="J110" s="10"/>
      <c r="K110">
        <f>J106</f>
        <v>1.1000000000000001</v>
      </c>
      <c r="L110" s="32">
        <f>R94</f>
        <v>3974</v>
      </c>
      <c r="M110">
        <f>O104</f>
        <v>235</v>
      </c>
      <c r="N110" s="11" t="s">
        <v>70</v>
      </c>
      <c r="O110" s="2">
        <f>ROUNDDOWN(K110*R94*M110/1000,1)</f>
        <v>1027.2</v>
      </c>
      <c r="P110" t="s">
        <v>19</v>
      </c>
      <c r="Q110" t="str">
        <f>Q97</f>
        <v>jMwu=</v>
      </c>
      <c r="R110">
        <f>R97</f>
        <v>75</v>
      </c>
      <c r="S110" s="29" t="s">
        <v>65</v>
      </c>
      <c r="T110" t="str">
        <f>CONCATENATE(K110,"×",L110,"×",M110,N110,O110,P110)</f>
        <v>1.1×3974×235/1000 = 1027.2kNm</v>
      </c>
      <c r="X110" t="s">
        <v>78</v>
      </c>
      <c r="Z110" t="str">
        <f>CONCATENATE(K110,"×",L110,"×",M110,,"/1000 +",R110,"=",O110,"+",R110,"=",O110+R110,"kNm")</f>
        <v>1.1×3974×235/1000 +75=1027.2+75=1102.2kNm</v>
      </c>
    </row>
    <row r="111" spans="1:32">
      <c r="A111" s="6"/>
      <c r="B111" s="28"/>
      <c r="C111" s="54" t="s">
        <v>69</v>
      </c>
      <c r="D111" s="28" t="str">
        <f>CONCATENATE(K111," / ",L111," = ",M111,N111)</f>
        <v>961.8 / 1027.2 = 0.94&lt; 1.0 OK</v>
      </c>
      <c r="E111" s="28"/>
      <c r="F111" s="28"/>
      <c r="G111" s="28"/>
      <c r="H111" s="28"/>
      <c r="I111" s="28"/>
      <c r="J111" s="7"/>
      <c r="K111" s="31">
        <f>N109</f>
        <v>961.8</v>
      </c>
      <c r="L111" s="31">
        <f>IF(M97=1,O110+R97,O110)</f>
        <v>1027.2</v>
      </c>
      <c r="M111" s="58">
        <f>ROUNDUP(K111/L111,2)</f>
        <v>0.94000000000000006</v>
      </c>
      <c r="N111" s="1" t="str">
        <f>IF(K111&lt;L111,"&lt; 1.0 OK","&gt; 1.0 Ng")</f>
        <v>&lt; 1.0 OK</v>
      </c>
    </row>
    <row r="112" spans="1:32">
      <c r="A112" s="46" t="s">
        <v>264</v>
      </c>
      <c r="B112" s="50" t="s">
        <v>273</v>
      </c>
      <c r="C112" s="4"/>
      <c r="D112" s="50"/>
      <c r="E112" s="52" t="str">
        <f>IF(N113=1,O112,U112)</f>
        <v>Equal distance</v>
      </c>
      <c r="F112" s="4" t="str">
        <f>IF(N113=1,P112,V112)</f>
        <v xml:space="preserve">λy=191.9 &lt; 170+20×2=210 OK </v>
      </c>
      <c r="G112" s="4"/>
      <c r="H112" s="4"/>
      <c r="I112" s="4"/>
      <c r="J112" s="5"/>
      <c r="K112" t="s">
        <v>8</v>
      </c>
      <c r="L112" s="27">
        <f>L106-K107</f>
        <v>6600</v>
      </c>
      <c r="M112" s="1" t="s">
        <v>20</v>
      </c>
      <c r="N112" s="2">
        <f>U93*10</f>
        <v>34.4</v>
      </c>
      <c r="O112" s="1" t="s">
        <v>368</v>
      </c>
      <c r="P112" s="1" t="str">
        <f>CONCATENATE("λy=",O113,P113,Q113,"+20×",R113,"=",S113,T113)</f>
        <v xml:space="preserve">λy=191.9 &lt; 170+20×2=210 OK </v>
      </c>
      <c r="S112" t="s">
        <v>274</v>
      </c>
      <c r="T112" s="27">
        <f>L112/4</f>
        <v>1650</v>
      </c>
      <c r="U112" s="1" t="s">
        <v>275</v>
      </c>
      <c r="V112" t="str">
        <f>CONCATENATE("Lb・H/Af=",Z112,"×",AA112,"/",AB112,"=",AC112,AD112,AE112,AF112)</f>
        <v xml:space="preserve">Lb・H/Af=1650×600/3230=307 &gt; 250 NG </v>
      </c>
      <c r="Z112">
        <f>T112</f>
        <v>1650</v>
      </c>
      <c r="AA112">
        <f>L93</f>
        <v>600</v>
      </c>
      <c r="AB112">
        <f>ROUND(M93*O93,0)</f>
        <v>3230</v>
      </c>
      <c r="AC112">
        <f>ROUNDUP(Z112*AA112/AB112,0)</f>
        <v>307</v>
      </c>
      <c r="AD112" t="str">
        <f>IF(AC112&gt;AE112," &gt; "," &lt; ")</f>
        <v xml:space="preserve"> &gt; </v>
      </c>
      <c r="AE112">
        <f>IF(L104=1,250,200)</f>
        <v>250</v>
      </c>
      <c r="AF112" t="str">
        <f>IF(AC112&gt;AE112," NG "," OK ")</f>
        <v xml:space="preserve"> NG </v>
      </c>
    </row>
    <row r="113" spans="1:31">
      <c r="A113" s="6"/>
      <c r="B113" s="45" t="str">
        <f>CONCATENATE(K112,L112,"mm,  ",M112,N112,"mm,  ",K113,L113)</f>
        <v>L=6600mm,  iy=34.4mm,  n=2</v>
      </c>
      <c r="C113" s="28"/>
      <c r="D113" s="28"/>
      <c r="E113" s="28"/>
      <c r="F113" s="28" t="str">
        <f>IF(N113=1,"",V113)</f>
        <v/>
      </c>
      <c r="G113" s="28"/>
      <c r="H113" s="28"/>
      <c r="I113" s="28"/>
      <c r="J113" s="7"/>
      <c r="K113" s="1" t="s">
        <v>66</v>
      </c>
      <c r="L113" s="27">
        <v>2</v>
      </c>
      <c r="M113" s="35" t="s">
        <v>276</v>
      </c>
      <c r="N113" s="27">
        <v>1</v>
      </c>
      <c r="O113">
        <f>ROUNDUP(L112/N112,1)</f>
        <v>191.9</v>
      </c>
      <c r="P113" t="str">
        <f>IF(O113&gt;S113," &gt; "," &lt; ")</f>
        <v xml:space="preserve"> &lt; </v>
      </c>
      <c r="Q113">
        <f>IF(L104=1,170,130)</f>
        <v>170</v>
      </c>
      <c r="R113">
        <f>L113</f>
        <v>2</v>
      </c>
      <c r="S113">
        <f>Q113+20*R113</f>
        <v>210</v>
      </c>
      <c r="T113" t="str">
        <f>IF(O113&gt;S113," NG "," OK ")</f>
        <v xml:space="preserve"> OK </v>
      </c>
      <c r="U113" s="1"/>
      <c r="V113" s="1" t="str">
        <f>CONCATENATE("Lb/iy=",Z113,"/",AA113,"=",AB113,AC113,AD113,AE113)</f>
        <v xml:space="preserve">Lb/iy=1650/34.4=48 &lt; 65 OK </v>
      </c>
      <c r="Z113">
        <f>T112</f>
        <v>1650</v>
      </c>
      <c r="AA113" s="31">
        <f>N112</f>
        <v>34.4</v>
      </c>
      <c r="AB113">
        <f>ROUNDUP(Z113/AA113,1)</f>
        <v>48</v>
      </c>
      <c r="AC113" t="str">
        <f>IF(AB113&gt;AD113," &gt; "," &lt; ")</f>
        <v xml:space="preserve"> &lt; </v>
      </c>
      <c r="AD113">
        <f>IF(L104=1,65,50)</f>
        <v>65</v>
      </c>
      <c r="AE113" t="str">
        <f>IF(AB113&gt;AD113," NG "," OK ")</f>
        <v xml:space="preserve"> OK </v>
      </c>
    </row>
    <row r="114" spans="1:31">
      <c r="A114" s="43" t="str">
        <f>IF(AND(M97=1,M114=1),"-","")</f>
        <v/>
      </c>
      <c r="B114" s="1" t="str">
        <f>IF(AND(M97=1,M114=1),"Check web bolts strength","")</f>
        <v/>
      </c>
      <c r="D114" s="4"/>
      <c r="E114" s="4"/>
      <c r="F114" s="4"/>
      <c r="G114" s="4"/>
      <c r="H114" s="4"/>
      <c r="I114" s="4"/>
      <c r="J114" s="5"/>
      <c r="K114" t="s">
        <v>278</v>
      </c>
      <c r="M114" s="27">
        <v>2</v>
      </c>
      <c r="N114" t="s">
        <v>277</v>
      </c>
    </row>
    <row r="115" spans="1:31">
      <c r="A115" s="9"/>
      <c r="B115" s="1" t="str">
        <f>IF(AND(M97=1,M114=1),CONCATENATE(K115,"-M",L115,", Ab=",M115,", ",N115,", σu=",O115,"N/mm2, ",P115,Q115,R115,U115),"")</f>
        <v/>
      </c>
      <c r="J115" s="10"/>
      <c r="K115" s="27">
        <v>5</v>
      </c>
      <c r="L115" s="100">
        <v>22</v>
      </c>
      <c r="M115">
        <f>ROUND(L115^2/4*PI(),0)</f>
        <v>380</v>
      </c>
      <c r="N115" s="27" t="s">
        <v>88</v>
      </c>
      <c r="O115" s="27">
        <v>1000</v>
      </c>
      <c r="P115" t="s">
        <v>87</v>
      </c>
      <c r="Q115">
        <f>ROUND(0.6*M115*O115/1000,1)</f>
        <v>228</v>
      </c>
      <c r="R115" s="1" t="s">
        <v>292</v>
      </c>
      <c r="U115" s="96">
        <f>60*(K115-1)</f>
        <v>240</v>
      </c>
    </row>
    <row r="116" spans="1:31">
      <c r="A116" s="9"/>
      <c r="B116" t="str">
        <f>IF(AND(M97=1,M114=1),CONCATENATE(L116,M116,N116," Qu=",O116,"×",M116,"=",P116,"kN",Q116,R116,S116,T116),"")</f>
        <v/>
      </c>
      <c r="D116" s="1"/>
      <c r="J116" s="10"/>
      <c r="L116" s="30" t="s">
        <v>293</v>
      </c>
      <c r="M116" s="27">
        <f>K115-2*M117</f>
        <v>3</v>
      </c>
      <c r="N116" t="str">
        <f>IF(M116=1,"bolt at the center", "bolts at the center")</f>
        <v>bolts at the center</v>
      </c>
      <c r="O116">
        <f>Q115</f>
        <v>228</v>
      </c>
      <c r="P116">
        <f>M116*O116</f>
        <v>684</v>
      </c>
      <c r="Q116" t="str">
        <f>IF(P116&gt;S116," &gt; "," &gt; ")</f>
        <v xml:space="preserve"> &gt; </v>
      </c>
      <c r="R116" t="s">
        <v>9</v>
      </c>
      <c r="S116" s="31">
        <f>P108</f>
        <v>326</v>
      </c>
      <c r="T116" t="str">
        <f>IF(P116&gt;S116," OK "," NG ")</f>
        <v xml:space="preserve"> OK </v>
      </c>
    </row>
    <row r="117" spans="1:31">
      <c r="A117" s="9"/>
      <c r="B117" t="str">
        <f>IF(AND(M97=1,M114=1),CONCATENATE(L117,M117,N117,M117,"×",P117,"×",Q117,"/1000=",R117,S117,T117,U117,V117),"")</f>
        <v/>
      </c>
      <c r="D117" s="1"/>
      <c r="J117" s="10"/>
      <c r="L117" s="30" t="s">
        <v>294</v>
      </c>
      <c r="M117" s="27">
        <v>1</v>
      </c>
      <c r="N117" t="str">
        <f>IF(M117=1,"bolt at the edge", "bolts at the edge")</f>
        <v>bolt at the edge</v>
      </c>
      <c r="P117">
        <f>Q115</f>
        <v>228</v>
      </c>
      <c r="Q117">
        <f>U115</f>
        <v>240</v>
      </c>
      <c r="R117">
        <f>ROUND(M117*P117*Q117/1000,1)</f>
        <v>54.7</v>
      </c>
      <c r="S117" t="str">
        <f>IF(R117&gt;U117," &gt; "," &gt; ")</f>
        <v xml:space="preserve"> &gt; </v>
      </c>
      <c r="T117" t="s">
        <v>77</v>
      </c>
      <c r="U117" s="31">
        <f>R97</f>
        <v>75</v>
      </c>
      <c r="V117" t="str">
        <f>IF(R117&gt;U117,"kNm OK ","kNm NG ")</f>
        <v xml:space="preserve">kNm NG </v>
      </c>
    </row>
    <row r="118" spans="1:31">
      <c r="A118" s="9"/>
      <c r="B118" t="str">
        <f>IF(OR(M114=2,R117&gt;U117),"",IF(M97=1,CONCATENATE(K118,M118,N118,O118,P118,Q118,R118,S118,T118,U118,W118,X118),""))</f>
        <v/>
      </c>
      <c r="D118" s="1"/>
      <c r="J118" s="10"/>
      <c r="K118" t="s">
        <v>296</v>
      </c>
      <c r="M118" t="s">
        <v>140</v>
      </c>
      <c r="N118" s="27">
        <v>80</v>
      </c>
      <c r="O118" t="s">
        <v>141</v>
      </c>
      <c r="P118" s="27">
        <v>60</v>
      </c>
      <c r="Q118" s="31" t="s">
        <v>91</v>
      </c>
      <c r="R118" s="27">
        <f>T97</f>
        <v>12</v>
      </c>
      <c r="S118" t="s">
        <v>92</v>
      </c>
      <c r="T118" s="27">
        <f>N118+P118-4*R118</f>
        <v>92</v>
      </c>
      <c r="U118" s="1" t="s">
        <v>295</v>
      </c>
      <c r="W118" s="27">
        <f>(K115-1)*60+2*40-N118</f>
        <v>240</v>
      </c>
      <c r="X118" t="s">
        <v>10</v>
      </c>
    </row>
    <row r="119" spans="1:31">
      <c r="A119" s="9"/>
      <c r="B119" t="str">
        <f>IF(OR(M114=2,R117&gt;U117),"",IF(M97=1,CONCATENATE(K119,L119,"×",M119,"×",N119,O119,P119,Q119),""))</f>
        <v/>
      </c>
      <c r="D119" s="1"/>
      <c r="J119" s="10"/>
      <c r="K119" s="1" t="s">
        <v>89</v>
      </c>
      <c r="L119" s="1">
        <f>R118</f>
        <v>12</v>
      </c>
      <c r="M119">
        <f>T118</f>
        <v>92</v>
      </c>
      <c r="N119" s="27">
        <f>IF(L104=1,400,490)</f>
        <v>400</v>
      </c>
      <c r="O119" s="11" t="s">
        <v>137</v>
      </c>
      <c r="P119">
        <f>ROUNDDOWN(0.7*L119*M119*N119/1732,0)</f>
        <v>178</v>
      </c>
      <c r="Q119" t="s">
        <v>17</v>
      </c>
    </row>
    <row r="120" spans="1:31">
      <c r="A120" s="6"/>
      <c r="B120" s="28" t="str">
        <f>IF(OR(M114=2,R117&gt;U117),"",IF(M97=1,CONCATENATE(K120,L120,"+",M120,"×",O120,"/1000=",L120,"+",P120,"=",Q120,R120,S120,T120),""))</f>
        <v/>
      </c>
      <c r="C120" s="28"/>
      <c r="D120" s="45"/>
      <c r="E120" s="28"/>
      <c r="F120" s="28"/>
      <c r="G120" s="28"/>
      <c r="H120" s="28"/>
      <c r="I120" s="28"/>
      <c r="J120" s="7"/>
      <c r="K120" t="s">
        <v>90</v>
      </c>
      <c r="L120" s="31">
        <f>R117</f>
        <v>54.7</v>
      </c>
      <c r="M120" s="31">
        <f>P119</f>
        <v>178</v>
      </c>
      <c r="N120" s="29" t="s">
        <v>297</v>
      </c>
      <c r="O120" s="1">
        <f>W118</f>
        <v>240</v>
      </c>
      <c r="P120">
        <f>ROUND(M120*O120/1000,1)</f>
        <v>42.7</v>
      </c>
      <c r="Q120" s="39">
        <f>L120+P120</f>
        <v>97.4</v>
      </c>
      <c r="R120" t="str">
        <f>IF(Q120&gt;T120," &gt; "," &gt; ")</f>
        <v xml:space="preserve"> &gt; </v>
      </c>
      <c r="S120" s="2">
        <f>U117</f>
        <v>75</v>
      </c>
      <c r="T120" t="str">
        <f>IF(Q120&gt;S120,"kNm  OK ","kNm  NG ")</f>
        <v xml:space="preserve">kNm  OK </v>
      </c>
    </row>
    <row r="121" spans="1:31">
      <c r="A121" t="str">
        <f>IF(K121="","",K121)</f>
        <v>RBS section check (Web bending strength considered, lateral buckling: end, web: bolted connection)</v>
      </c>
      <c r="K121" s="27" t="s">
        <v>303</v>
      </c>
      <c r="R121" s="35"/>
      <c r="S121" s="35"/>
    </row>
    <row r="122" spans="1:31">
      <c r="A122" s="3" t="s">
        <v>263</v>
      </c>
      <c r="B122" s="4"/>
      <c r="C122" s="97"/>
      <c r="D122" s="4"/>
      <c r="E122" s="5"/>
      <c r="F122" s="8" t="str">
        <f>CONCATENATE("Position: ",N122,O122,P122,Q122,R122,"-",S122,T122,"  ",U122)</f>
        <v>Position: 3FL Level,  2axis,　A-B   3G1y</v>
      </c>
      <c r="G122" s="8"/>
      <c r="H122" s="8"/>
      <c r="I122" s="8"/>
      <c r="J122" s="61"/>
      <c r="K122" s="34" t="s">
        <v>99</v>
      </c>
      <c r="L122" t="s">
        <v>147</v>
      </c>
      <c r="M122" s="27">
        <v>17</v>
      </c>
      <c r="N122" s="27" t="str">
        <f>INDEX(str!A:U,MATCH(M122,str!A:A,0),2)</f>
        <v>3FL</v>
      </c>
      <c r="O122" t="s">
        <v>267</v>
      </c>
      <c r="P122" s="27">
        <f>INDEX(str!A:U,MATCH(M122,str!A:A,0),3)</f>
        <v>2</v>
      </c>
      <c r="Q122" t="s">
        <v>266</v>
      </c>
      <c r="R122" s="27" t="str">
        <f>INDEX(str!A:U,MATCH(M122,str!A:A,0),4)</f>
        <v>A</v>
      </c>
      <c r="S122" s="27" t="str">
        <f>INDEX(str!A:U,MATCH(M122,str!A:A,0),5)</f>
        <v>B</v>
      </c>
      <c r="T122" t="s">
        <v>268</v>
      </c>
      <c r="U122" s="27" t="str">
        <f>INDEX(str!A:U,MATCH(M122,str!A:A,0),6)</f>
        <v>3G1y</v>
      </c>
      <c r="V122" s="27"/>
      <c r="W122" s="27"/>
      <c r="X122" s="27"/>
      <c r="Y122" s="56"/>
    </row>
    <row r="123" spans="1:31">
      <c r="A123" s="116" t="s">
        <v>265</v>
      </c>
      <c r="B123" t="str">
        <f>CONCATENATE(K123,L123,"×",M123,"×",N123,"×",O123,"×r",P123,") Zpx=",R123,",A=",S123,", Iy=",T123,",iy=",U123)</f>
        <v>Beam: reduced section H-500×110×12×19×r0) Zpx=1646,A=97.2, Iy=428,iy=2.1</v>
      </c>
      <c r="F123" s="4"/>
      <c r="G123" s="4"/>
      <c r="H123" s="4"/>
      <c r="I123" s="4"/>
      <c r="J123" s="5"/>
      <c r="K123" t="s">
        <v>269</v>
      </c>
      <c r="L123" s="66">
        <f>IF(M130=0,M129,M130)</f>
        <v>500</v>
      </c>
      <c r="M123" s="67">
        <f>IF(N130=0,N129,N130)</f>
        <v>110</v>
      </c>
      <c r="N123" s="74">
        <v>12</v>
      </c>
      <c r="O123" s="75">
        <v>19</v>
      </c>
      <c r="P123" s="76">
        <v>0</v>
      </c>
      <c r="Q123" s="35"/>
      <c r="R123" s="65">
        <f>ROUND(1/4*(M123*L123^2-M123*(L123-2*O123)^2+N123*(L123-2*O123)^2)/1000+4*0.2146*P123^2*(L123/2-O123-0.2234*P123)/1000,0)</f>
        <v>1646</v>
      </c>
      <c r="S123" s="69">
        <f>ROUND((L123*M123-(L123-2*O123)*(M123-N123)+4*(P123^2-PI()*P123^2/4))/100,1)</f>
        <v>97.2</v>
      </c>
      <c r="T123" s="70">
        <f>ROUND(1/12*(2*O123*M123^3+(L123-2*O123)*N123^3)/10000+(4*0.2146*P123^2*(N123/2+0.2234*P123)^2+4*0.0075*P123^4)/10000,0)</f>
        <v>428</v>
      </c>
      <c r="U123" s="71">
        <f>ROUND(SQRT(T123/S123),2)</f>
        <v>2.1</v>
      </c>
    </row>
    <row r="124" spans="1:31">
      <c r="A124" s="43" t="s">
        <v>264</v>
      </c>
      <c r="B124" t="str">
        <f>CONCATENATE(K124,L124,"×",M124,"×",N124,"×",O124,"×r",P124,") Zpx=",R124)</f>
        <v>Beam: column face H-500×200×0×19×r0) Zpx=1828</v>
      </c>
      <c r="J124" s="10"/>
      <c r="K124" t="s">
        <v>364</v>
      </c>
      <c r="L124" s="66">
        <f>L123</f>
        <v>500</v>
      </c>
      <c r="M124" s="67">
        <f>C129</f>
        <v>200</v>
      </c>
      <c r="N124" s="74">
        <v>0</v>
      </c>
      <c r="O124" s="68">
        <f>O123</f>
        <v>19</v>
      </c>
      <c r="P124" s="76">
        <v>0</v>
      </c>
      <c r="Q124" s="35"/>
      <c r="R124" s="65">
        <f>ROUND(1/4*(M124*L124^2-M124*(L124-2*O124)^2+N124*(L124-2*O124)^2)/1000+4*0.2146*P124^2*(L124/2-O124-0.2234*P124)/1000,0)</f>
        <v>1828</v>
      </c>
    </row>
    <row r="125" spans="1:31">
      <c r="A125" s="43" t="s">
        <v>264</v>
      </c>
      <c r="B125" t="str">
        <f>CONCATENATE(K125,M125,"×",N125,V125)</f>
        <v>column section □-400×19 (BCR295)</v>
      </c>
      <c r="F125" t="str">
        <f>IF(M127=1,CONCATENATE("  ",L126,M126,", ",N126,O126,", ",P126,Q126,", ",R126,S126),"")</f>
        <v xml:space="preserve">  dj=H-2tbf=462, bj=362, m=1, web hight ls=320</v>
      </c>
      <c r="J125" s="10"/>
      <c r="K125" t="s">
        <v>365</v>
      </c>
      <c r="L125" s="35"/>
      <c r="M125" s="72">
        <v>400</v>
      </c>
      <c r="N125" s="73">
        <v>19</v>
      </c>
      <c r="O125" s="73"/>
      <c r="P125" s="30" t="s">
        <v>281</v>
      </c>
      <c r="Q125" s="27">
        <v>1</v>
      </c>
      <c r="R125" s="11" t="s">
        <v>115</v>
      </c>
      <c r="U125">
        <f>IF(Q125=1,295,IF(Q125=2,325,Y125))</f>
        <v>295</v>
      </c>
      <c r="V125" t="str">
        <f>IF(Q125=1," (BCR295)",IF(Q125=2," (BCP325)",X125))</f>
        <v xml:space="preserve"> (BCR295)</v>
      </c>
      <c r="W125" s="30" t="s">
        <v>116</v>
      </c>
      <c r="X125" s="27" t="s">
        <v>145</v>
      </c>
      <c r="Y125" s="27">
        <v>235</v>
      </c>
    </row>
    <row r="126" spans="1:31">
      <c r="A126" s="6"/>
      <c r="B126" s="28" t="str">
        <f>CONCATENATE(" Internodal distance L=",J135)</f>
        <v xml:space="preserve"> Internodal distance L=7000 mm</v>
      </c>
      <c r="C126" s="28"/>
      <c r="D126" s="28"/>
      <c r="E126" s="28"/>
      <c r="F126" s="28" t="str">
        <f>IF(M127=1,CONCATENATE("  tg=",T127,"mm ",O127,P127,", ",Q127,R127,"kNm"),"")</f>
        <v xml:space="preserve">  tg=12mm Zwpe=307200, jMwu=91kNm</v>
      </c>
      <c r="G126" s="28"/>
      <c r="H126" s="28"/>
      <c r="I126" s="28"/>
      <c r="J126" s="7"/>
      <c r="L126" s="30" t="s">
        <v>79</v>
      </c>
      <c r="M126" s="27">
        <f>L124-2*O124</f>
        <v>462</v>
      </c>
      <c r="N126" s="30" t="s">
        <v>73</v>
      </c>
      <c r="O126" s="27">
        <f>M125-2*N125</f>
        <v>362</v>
      </c>
      <c r="P126" s="30" t="s">
        <v>74</v>
      </c>
      <c r="Q126">
        <f>MIN(1,ROUND(4*N125/M126*SQRT((O126*U125)/(T127*O134)),3))</f>
        <v>1</v>
      </c>
      <c r="R126" s="35" t="s">
        <v>284</v>
      </c>
      <c r="S126" s="27">
        <f>(5-1)*60+2*40</f>
        <v>320</v>
      </c>
    </row>
    <row r="127" spans="1:31">
      <c r="A127" s="46" t="s">
        <v>264</v>
      </c>
      <c r="B127" s="4" t="str">
        <f>CONCATENATE("RBS shape",IF(M128=0,"",K128))</f>
        <v>RBS shape</v>
      </c>
      <c r="C127" s="4"/>
      <c r="D127" s="4"/>
      <c r="E127" s="4"/>
      <c r="F127" s="4"/>
      <c r="G127" s="4"/>
      <c r="H127" s="4"/>
      <c r="I127" s="4"/>
      <c r="J127" s="115" t="str">
        <f>IF(U128&lt;5,"[スパン/梁成]&lt;5 : チェック","")</f>
        <v/>
      </c>
      <c r="K127" t="s">
        <v>280</v>
      </c>
      <c r="L127" s="35"/>
      <c r="M127" s="27">
        <v>1</v>
      </c>
      <c r="O127" s="30" t="s">
        <v>76</v>
      </c>
      <c r="P127">
        <f>ROUND((S126^2*T127)/4,0)</f>
        <v>307200</v>
      </c>
      <c r="Q127" s="30" t="s">
        <v>77</v>
      </c>
      <c r="R127">
        <f>ROUND(Q126*P127*U125/1000000,0)</f>
        <v>91</v>
      </c>
      <c r="S127" s="30" t="s">
        <v>117</v>
      </c>
      <c r="T127" s="27">
        <f>N123</f>
        <v>12</v>
      </c>
    </row>
    <row r="128" spans="1:31">
      <c r="A128" s="9"/>
      <c r="B128" s="30" t="s">
        <v>5</v>
      </c>
      <c r="C128" s="41">
        <f>IF(M130=0,M129,M130)</f>
        <v>500</v>
      </c>
      <c r="F128" t="str">
        <f>CONCATENATE(L131,M131,"mm",N131,O131,"mm")</f>
        <v xml:space="preserve">  H type  f=2bf/3=133mm   f1=0.2f=27mm</v>
      </c>
      <c r="J128" s="10"/>
      <c r="K128" s="117" t="str">
        <f>IF(M128=0,"both end RBS",IF(M128=1,"  (left pin)","  (right pin)"))</f>
        <v>both end RBS</v>
      </c>
      <c r="L128" s="98"/>
      <c r="M128" s="27">
        <v>0</v>
      </c>
      <c r="N128" s="11" t="s">
        <v>282</v>
      </c>
      <c r="R128" s="30" t="s">
        <v>283</v>
      </c>
      <c r="S128">
        <f>O137-P137</f>
        <v>6600</v>
      </c>
      <c r="T128" s="30" t="s">
        <v>196</v>
      </c>
      <c r="U128">
        <f>IF(M128=0,ROUNDUP(S128/L124,2),ROUNDUP(2*S128/L124,2))</f>
        <v>13.2</v>
      </c>
    </row>
    <row r="129" spans="1:32">
      <c r="A129" s="9"/>
      <c r="B129" s="30" t="s">
        <v>56</v>
      </c>
      <c r="C129" s="41">
        <f>IF(L130=0,L129,L130)</f>
        <v>200</v>
      </c>
      <c r="D129" s="30" t="s">
        <v>4</v>
      </c>
      <c r="E129" s="41">
        <f>IF(O130=0,O129,O130)</f>
        <v>200</v>
      </c>
      <c r="F129" t="str">
        <f>CONCATENATE(L132,M132,"mm",N132,O132,"mm")</f>
        <v xml:space="preserve">  BH type f=1.2bf=240mm   f1=0.1f=24mm</v>
      </c>
      <c r="J129" s="10"/>
      <c r="K129" t="s">
        <v>286</v>
      </c>
      <c r="L129" s="92">
        <f>O129</f>
        <v>200</v>
      </c>
      <c r="M129" s="99">
        <f>INDEX(List!A:S,MATCH(shs!K122,List!A:A,0),2)</f>
        <v>500</v>
      </c>
      <c r="N129" s="90">
        <f>INDEX(List!A:S,MATCH(shs!K122,List!A:A,0),3)</f>
        <v>110</v>
      </c>
      <c r="O129" s="79">
        <f>INDEX(List!A:S,MATCH(shs!K122,List!A:A,0),4)</f>
        <v>200</v>
      </c>
      <c r="P129" s="81">
        <f>INDEX(List!A:S,MATCH(shs!K122,List!A:A,0),5)</f>
        <v>200</v>
      </c>
      <c r="Q129" s="83">
        <f>INDEX(List!A:S,MATCH(shs!K122,List!A:A,0),6)</f>
        <v>150</v>
      </c>
      <c r="R129" s="85">
        <f>INDEX(List!A:S,MATCH(shs!K122,List!A:A,0),7)</f>
        <v>380</v>
      </c>
      <c r="S129" s="87">
        <f>INDEX(List!A:S,MATCH(shs!K122,List!A:A,0),8)</f>
        <v>45</v>
      </c>
      <c r="T129" s="76">
        <f>INDEX(List!A:S,MATCH(shs!K122,List!A:A,0),9)</f>
        <v>424</v>
      </c>
    </row>
    <row r="130" spans="1:32">
      <c r="A130" s="9"/>
      <c r="B130" s="30" t="s">
        <v>52</v>
      </c>
      <c r="C130" s="41">
        <f>IF(N130=0,N129,N130)</f>
        <v>110</v>
      </c>
      <c r="D130" s="30" t="s">
        <v>53</v>
      </c>
      <c r="E130" s="41">
        <f>IF(P130=0,P129,P130)</f>
        <v>200</v>
      </c>
      <c r="F130" t="str">
        <f>CONCATENATE("  bf1/bf0=",ROUND(C130/E130,3),IF(ROUND(C130/E130,3)&lt;=0.85," &lt; "," &gt; "),"0.85",IF(ROUND(C130/E130,3)&lt;=0.85,"OK","NG"))</f>
        <v xml:space="preserve">  bf1/bf0=0.55 &lt; 0.85OK</v>
      </c>
      <c r="J130" s="10"/>
      <c r="K130" t="s">
        <v>285</v>
      </c>
      <c r="L130" s="93">
        <v>0</v>
      </c>
      <c r="M130" s="78">
        <v>0</v>
      </c>
      <c r="N130" s="91">
        <v>0</v>
      </c>
      <c r="O130" s="80">
        <v>0</v>
      </c>
      <c r="P130" s="82">
        <v>0</v>
      </c>
      <c r="Q130" s="84">
        <v>0</v>
      </c>
      <c r="R130" s="86">
        <v>0</v>
      </c>
      <c r="S130" s="88">
        <v>0</v>
      </c>
      <c r="T130" s="89">
        <v>0</v>
      </c>
    </row>
    <row r="131" spans="1:32">
      <c r="A131" s="9"/>
      <c r="B131" s="30" t="s">
        <v>6</v>
      </c>
      <c r="C131" s="41">
        <f>IF(Q130=0,Q129,Q130)</f>
        <v>150</v>
      </c>
      <c r="D131" t="s">
        <v>11</v>
      </c>
      <c r="F131" s="30" t="s">
        <v>12</v>
      </c>
      <c r="G131" s="40">
        <f>C131/E129</f>
        <v>0.75</v>
      </c>
      <c r="H131" t="str">
        <f>IF(AND(0.5&lt;=G131,G131&lt;=0.75),"OK","NG")</f>
        <v>OK</v>
      </c>
      <c r="J131" s="10"/>
      <c r="L131" t="s">
        <v>270</v>
      </c>
      <c r="M131">
        <f>ROUND(2*E129/3,0)</f>
        <v>133</v>
      </c>
      <c r="N131" t="s">
        <v>54</v>
      </c>
      <c r="O131">
        <f>ROUND(0.2*M131,0)</f>
        <v>27</v>
      </c>
    </row>
    <row r="132" spans="1:32">
      <c r="A132" s="9"/>
      <c r="B132" s="30" t="s">
        <v>1</v>
      </c>
      <c r="C132" s="41">
        <f>IF(R130=0,R129,R130)</f>
        <v>380</v>
      </c>
      <c r="D132" t="s">
        <v>13</v>
      </c>
      <c r="F132" s="30" t="s">
        <v>14</v>
      </c>
      <c r="G132" s="40">
        <f>C132/C128</f>
        <v>0.76</v>
      </c>
      <c r="H132" t="str">
        <f>IF(AND(0.65&lt;=G132,G132&lt;=0.85),"OK","NG")</f>
        <v>OK</v>
      </c>
      <c r="J132" s="10"/>
      <c r="L132" t="s">
        <v>271</v>
      </c>
      <c r="M132">
        <f>ROUND(1.2*E129,0)</f>
        <v>240</v>
      </c>
      <c r="N132" t="s">
        <v>55</v>
      </c>
      <c r="O132">
        <f>ROUND(0.1*M132,0)</f>
        <v>24</v>
      </c>
    </row>
    <row r="133" spans="1:32">
      <c r="A133" s="9"/>
      <c r="B133" s="30" t="s">
        <v>2</v>
      </c>
      <c r="C133" s="41">
        <f>IF(S130=0,S129,S130)</f>
        <v>45</v>
      </c>
      <c r="D133" t="s">
        <v>16</v>
      </c>
      <c r="F133" s="30" t="s">
        <v>15</v>
      </c>
      <c r="G133" s="40">
        <f>C133/E129</f>
        <v>0.22500000000000001</v>
      </c>
      <c r="H133" t="str">
        <f>IF(AND(0.2&lt;=G133,G133&lt;=0.25),"OK","NG")</f>
        <v>OK</v>
      </c>
      <c r="J133" s="10"/>
    </row>
    <row r="134" spans="1:32">
      <c r="A134" s="6"/>
      <c r="B134" s="47" t="s">
        <v>3</v>
      </c>
      <c r="C134" s="48">
        <f>ROUNDUP((4*C133^2+C132^2)/(8*C133),0)</f>
        <v>424</v>
      </c>
      <c r="D134" s="28" t="s">
        <v>96</v>
      </c>
      <c r="E134" s="49"/>
      <c r="F134" s="28" t="str">
        <f>CONCATENATE("b/2c=",ROUND(C132/(2*C133),1),"：flange reducing angle around b/2c=2.9")</f>
        <v>b/2c=4.2：flange reducing angle around b/2c=2.9</v>
      </c>
      <c r="G134" s="28"/>
      <c r="H134" s="28"/>
      <c r="I134" s="28"/>
      <c r="J134" s="7"/>
      <c r="K134" s="35" t="s">
        <v>287</v>
      </c>
      <c r="L134" s="27">
        <v>1</v>
      </c>
      <c r="M134" s="11" t="s">
        <v>68</v>
      </c>
      <c r="O134">
        <f>IF(L134=1,235,325)</f>
        <v>235</v>
      </c>
      <c r="P134" t="str">
        <f>IF(L134=1," (SN400)"," (SN490)")</f>
        <v xml:space="preserve"> (SN400)</v>
      </c>
    </row>
    <row r="135" spans="1:32">
      <c r="A135" s="46" t="s">
        <v>264</v>
      </c>
      <c r="B135" s="50" t="s">
        <v>272</v>
      </c>
      <c r="C135" s="51"/>
      <c r="D135" s="50" t="str">
        <f>CONCATENATE("σy=",O134," N/mm2 ", P134)</f>
        <v>σy=235 N/mm2  (SN400)</v>
      </c>
      <c r="E135" s="4"/>
      <c r="F135" s="4"/>
      <c r="G135" s="52" t="s">
        <v>57</v>
      </c>
      <c r="H135" s="50" t="str">
        <f>CONCATENATE(L135," kN")</f>
        <v>38 kN</v>
      </c>
      <c r="I135" s="51" t="s">
        <v>8</v>
      </c>
      <c r="J135" s="53" t="str">
        <f>CONCATENATE(L136," mm")</f>
        <v>7000 mm</v>
      </c>
      <c r="K135" s="30" t="s">
        <v>118</v>
      </c>
      <c r="L135" s="13">
        <f>IF(Q135=0,MAX(N135:O135),Q135)</f>
        <v>38</v>
      </c>
      <c r="M135" t="s">
        <v>17</v>
      </c>
      <c r="N135" s="94">
        <f>VLOOKUP(M122,str!A:Y,19,FALSE)</f>
        <v>38</v>
      </c>
      <c r="O135" s="95">
        <f>VLOOKUP(M122,str!A:Y,21,FALSE)</f>
        <v>38</v>
      </c>
      <c r="P135" t="s">
        <v>288</v>
      </c>
      <c r="Q135" s="27">
        <v>0</v>
      </c>
    </row>
    <row r="136" spans="1:32">
      <c r="A136" s="9"/>
      <c r="B136" s="29" t="s">
        <v>58</v>
      </c>
      <c r="C136" t="str">
        <f>CONCATENATE(C131,"+",C132,"/2 = ",O136,"mm")</f>
        <v>150+380/2 = 340mm</v>
      </c>
      <c r="G136" s="29" t="s">
        <v>59</v>
      </c>
      <c r="H136" s="33">
        <v>1.1499999999999999</v>
      </c>
      <c r="I136" s="29" t="s">
        <v>60</v>
      </c>
      <c r="J136" s="44">
        <v>1.1000000000000001</v>
      </c>
      <c r="K136" s="30" t="s">
        <v>8</v>
      </c>
      <c r="L136" s="27">
        <f>IF(Q136=0,VLOOKUP(M122,str!A:Y,8,FALSE),Q136)</f>
        <v>7000</v>
      </c>
      <c r="M136" t="s">
        <v>10</v>
      </c>
      <c r="N136" s="30" t="s">
        <v>58</v>
      </c>
      <c r="O136" s="42">
        <f>C131+C132/2</f>
        <v>340</v>
      </c>
      <c r="P136" s="30" t="s">
        <v>289</v>
      </c>
      <c r="Q136" s="27">
        <f>VLOOKUP(M122,str!A:Y,8,FALSE)*0</f>
        <v>0</v>
      </c>
    </row>
    <row r="137" spans="1:32">
      <c r="A137" s="9"/>
      <c r="B137" s="29" t="s">
        <v>7</v>
      </c>
      <c r="C137" t="str">
        <f>CONCATENATE(O137,"-",P137,"-",Q137,"×",R137,"=",S137,"mm")</f>
        <v>7000-400-2×340=5920mm</v>
      </c>
      <c r="F137" s="29" t="s">
        <v>61</v>
      </c>
      <c r="G137" t="str">
        <f>CONCATENATE(X137,"×",Y137,"×",Z137,"×",AA137,AB137,AC137," kNm")</f>
        <v>1.15×1.1×1646×235/1000 = 489.3 kNm</v>
      </c>
      <c r="J137" s="10"/>
      <c r="K137" s="27">
        <f>M125</f>
        <v>400</v>
      </c>
      <c r="L137" t="s">
        <v>290</v>
      </c>
      <c r="O137">
        <f>L136</f>
        <v>7000</v>
      </c>
      <c r="P137">
        <f>K137</f>
        <v>400</v>
      </c>
      <c r="Q137">
        <f>IF(M128=0,2,1)</f>
        <v>2</v>
      </c>
      <c r="R137">
        <f>O136</f>
        <v>340</v>
      </c>
      <c r="S137" s="1">
        <f>O137-P137-Q137*R137</f>
        <v>5920</v>
      </c>
      <c r="T137" t="s">
        <v>291</v>
      </c>
      <c r="V137" t="s">
        <v>64</v>
      </c>
      <c r="X137">
        <f>H136</f>
        <v>1.1499999999999999</v>
      </c>
      <c r="Y137">
        <f>J136</f>
        <v>1.1000000000000001</v>
      </c>
      <c r="Z137" s="32">
        <f>ROUND(R123,0)</f>
        <v>1646</v>
      </c>
      <c r="AA137">
        <f>O134</f>
        <v>235</v>
      </c>
      <c r="AB137" t="s">
        <v>70</v>
      </c>
      <c r="AC137" s="2">
        <f>ROUND(H136*J136*Z137*AA137/1000,1)</f>
        <v>489.3</v>
      </c>
    </row>
    <row r="138" spans="1:32">
      <c r="A138" s="9"/>
      <c r="B138" s="29" t="s">
        <v>9</v>
      </c>
      <c r="C138" t="str">
        <f>CONCATENATE(L138,"x",M138,"/",N138,"+",O138," = ",P138," kN")</f>
        <v>2x489.3/5.92+38 = 203.3 kN</v>
      </c>
      <c r="F138" s="29" t="s">
        <v>62</v>
      </c>
      <c r="G138" t="str">
        <f>CONCATENATE(R138,"×",S138,T138,U138,V138)</f>
        <v>203.3×340/1000 = 69.1kNm</v>
      </c>
      <c r="J138" s="10"/>
      <c r="K138" t="s">
        <v>9</v>
      </c>
      <c r="L138">
        <f>IF(M128=0,2,1)</f>
        <v>2</v>
      </c>
      <c r="M138" s="32">
        <f>AC137</f>
        <v>489.3</v>
      </c>
      <c r="N138">
        <f>S137/1000</f>
        <v>5.92</v>
      </c>
      <c r="O138">
        <f>L135</f>
        <v>38</v>
      </c>
      <c r="P138" s="2">
        <f>ROUND((L138*M138)/(N138)+O138,1)</f>
        <v>203.3</v>
      </c>
      <c r="Q138" t="s">
        <v>62</v>
      </c>
      <c r="R138" s="32">
        <f>P138</f>
        <v>203.3</v>
      </c>
      <c r="S138">
        <f>O136</f>
        <v>340</v>
      </c>
      <c r="T138" s="11" t="s">
        <v>70</v>
      </c>
      <c r="U138" s="2">
        <f>ROUND(R138*S138/1000,1)</f>
        <v>69.099999999999994</v>
      </c>
      <c r="V138" t="s">
        <v>19</v>
      </c>
    </row>
    <row r="139" spans="1:32">
      <c r="A139" s="9"/>
      <c r="B139" s="29" t="s">
        <v>63</v>
      </c>
      <c r="C139" t="str">
        <f>CONCATENATE(L139,"+",M139," = ",N139," kNm")</f>
        <v>489.3+69.1 = 558.4 kNm</v>
      </c>
      <c r="J139" s="10"/>
      <c r="K139" t="s">
        <v>71</v>
      </c>
      <c r="L139" s="31">
        <f>AC137</f>
        <v>489.3</v>
      </c>
      <c r="M139" s="31">
        <f>U138</f>
        <v>69.099999999999994</v>
      </c>
      <c r="N139" s="2">
        <f>L139+M139</f>
        <v>558.4</v>
      </c>
      <c r="P139" s="29" t="s">
        <v>67</v>
      </c>
      <c r="Q139" t="str">
        <f>CONCATENATE(R139," / ",S139," = ",T139,+U139)</f>
        <v>558.4 / 489.3 = 1.14(Stress increase rate at column face/hinge)</v>
      </c>
      <c r="R139" s="31">
        <f>N139</f>
        <v>558.4</v>
      </c>
      <c r="S139" s="31">
        <f>AC137</f>
        <v>489.3</v>
      </c>
      <c r="T139" s="12">
        <f>ROUND(R139/S139,2)</f>
        <v>1.1399999999999999</v>
      </c>
      <c r="U139" t="s">
        <v>279</v>
      </c>
    </row>
    <row r="140" spans="1:32">
      <c r="A140" s="9"/>
      <c r="C140" s="30" t="str">
        <f>IF(M127=1,X140,S140)</f>
        <v>RyZpσy+jMwu=</v>
      </c>
      <c r="D140" t="str">
        <f>IF(M127=1,Z140,T140)</f>
        <v>1.1×1828×235/1000 +91=472.5+91=563.5kNm</v>
      </c>
      <c r="J140" s="10"/>
      <c r="K140">
        <f>J136</f>
        <v>1.1000000000000001</v>
      </c>
      <c r="L140" s="32">
        <f>R124</f>
        <v>1828</v>
      </c>
      <c r="M140">
        <f>O134</f>
        <v>235</v>
      </c>
      <c r="N140" s="11" t="s">
        <v>70</v>
      </c>
      <c r="O140" s="2">
        <f>ROUNDDOWN(K140*R124*M140/1000,1)</f>
        <v>472.5</v>
      </c>
      <c r="P140" t="s">
        <v>19</v>
      </c>
      <c r="Q140" t="str">
        <f>Q127</f>
        <v>jMwu=</v>
      </c>
      <c r="R140">
        <f>R127</f>
        <v>91</v>
      </c>
      <c r="S140" s="29" t="s">
        <v>65</v>
      </c>
      <c r="T140" t="str">
        <f>CONCATENATE(K140,"×",L140,"×",M140,N140,O140,P140)</f>
        <v>1.1×1828×235/1000 = 472.5kNm</v>
      </c>
      <c r="X140" t="s">
        <v>78</v>
      </c>
      <c r="Z140" t="str">
        <f>CONCATENATE(K140,"×",L140,"×",M140,,"/1000 +",R140,"=",O140,"+",R140,"=",O140+R140,"kNm")</f>
        <v>1.1×1828×235/1000 +91=472.5+91=563.5kNm</v>
      </c>
    </row>
    <row r="141" spans="1:32">
      <c r="A141" s="6"/>
      <c r="B141" s="28"/>
      <c r="C141" s="54" t="s">
        <v>69</v>
      </c>
      <c r="D141" s="28" t="str">
        <f>CONCATENATE(K141," / ",L141," = ",M141,N141)</f>
        <v>558.4 / 563.5 = 1&lt; 1.0 OK</v>
      </c>
      <c r="E141" s="28"/>
      <c r="F141" s="28"/>
      <c r="G141" s="28"/>
      <c r="H141" s="28"/>
      <c r="I141" s="28"/>
      <c r="J141" s="7"/>
      <c r="K141" s="31">
        <f>N139</f>
        <v>558.4</v>
      </c>
      <c r="L141" s="31">
        <f>IF(M127=1,O140+R127,O140)</f>
        <v>563.5</v>
      </c>
      <c r="M141" s="58">
        <f>ROUNDUP(K141/L141,2)</f>
        <v>1</v>
      </c>
      <c r="N141" s="1" t="str">
        <f>IF(K141&lt;L141,"&lt; 1.0 OK","&gt; 1.0 Ng")</f>
        <v>&lt; 1.0 OK</v>
      </c>
    </row>
    <row r="142" spans="1:32">
      <c r="A142" s="46" t="s">
        <v>264</v>
      </c>
      <c r="B142" s="50" t="s">
        <v>273</v>
      </c>
      <c r="C142" s="4"/>
      <c r="D142" s="50"/>
      <c r="E142" s="52" t="str">
        <f>IF(N143=1,O142,U142)</f>
        <v>End of beam</v>
      </c>
      <c r="F142" s="4" t="str">
        <f>IF(N143=1,P142,V142)</f>
        <v xml:space="preserve">Lb・H/Af=1000×500/2090=240 &lt; 250 OK </v>
      </c>
      <c r="G142" s="4"/>
      <c r="H142" s="4"/>
      <c r="I142" s="4"/>
      <c r="J142" s="5"/>
      <c r="K142" t="s">
        <v>8</v>
      </c>
      <c r="L142" s="27">
        <f>L136-K137</f>
        <v>6600</v>
      </c>
      <c r="M142" s="1" t="s">
        <v>20</v>
      </c>
      <c r="N142" s="2">
        <f>U123*10</f>
        <v>21</v>
      </c>
      <c r="O142" s="1" t="s">
        <v>368</v>
      </c>
      <c r="P142" s="1" t="str">
        <f>CONCATENATE("λy=",O143,P143,Q143,"+20×",R143,"=",S143,T143)</f>
        <v xml:space="preserve">λy=314.3 &gt; 170+20×5=270 NG </v>
      </c>
      <c r="S142" t="s">
        <v>274</v>
      </c>
      <c r="T142" s="27">
        <v>1000</v>
      </c>
      <c r="U142" s="1" t="s">
        <v>275</v>
      </c>
      <c r="V142" t="str">
        <f>CONCATENATE("Lb・H/Af=",Z142,"×",AA142,"/",AB142,"=",AC142,AD142,AE142,AF142)</f>
        <v xml:space="preserve">Lb・H/Af=1000×500/2090=240 &lt; 250 OK </v>
      </c>
      <c r="Z142">
        <f>T142</f>
        <v>1000</v>
      </c>
      <c r="AA142">
        <f>L123</f>
        <v>500</v>
      </c>
      <c r="AB142">
        <f>ROUND(M123*O123,0)</f>
        <v>2090</v>
      </c>
      <c r="AC142">
        <f>ROUNDUP(Z142*AA142/AB142,0)</f>
        <v>240</v>
      </c>
      <c r="AD142" t="str">
        <f>IF(AC142&gt;AE142," &gt; "," &lt; ")</f>
        <v xml:space="preserve"> &lt; </v>
      </c>
      <c r="AE142">
        <f>IF(L134=1,250,200)</f>
        <v>250</v>
      </c>
      <c r="AF142" t="str">
        <f>IF(AC142&gt;AE142," NG "," OK ")</f>
        <v xml:space="preserve"> OK </v>
      </c>
    </row>
    <row r="143" spans="1:32">
      <c r="A143" s="6"/>
      <c r="B143" s="45" t="str">
        <f>CONCATENATE(K142,L142,"mm,  ",M142,N142,"mm,  ",K143,L143)</f>
        <v>L=6600mm,  iy=21mm,  n=5</v>
      </c>
      <c r="C143" s="28"/>
      <c r="D143" s="28"/>
      <c r="E143" s="28"/>
      <c r="F143" s="28" t="str">
        <f>IF(N143=1,"",V143)</f>
        <v xml:space="preserve">Lb/iy=1000/21=47.7 &lt; 65 OK </v>
      </c>
      <c r="G143" s="28"/>
      <c r="H143" s="28"/>
      <c r="I143" s="28"/>
      <c r="J143" s="7"/>
      <c r="K143" s="1" t="s">
        <v>66</v>
      </c>
      <c r="L143" s="27">
        <v>5</v>
      </c>
      <c r="M143" s="35" t="s">
        <v>276</v>
      </c>
      <c r="N143" s="27">
        <v>0</v>
      </c>
      <c r="O143">
        <f>ROUNDUP(L142/N142,1)</f>
        <v>314.3</v>
      </c>
      <c r="P143" t="str">
        <f>IF(O143&gt;S143," &gt; "," &lt; ")</f>
        <v xml:space="preserve"> &gt; </v>
      </c>
      <c r="Q143">
        <f>IF(L134=1,170,130)</f>
        <v>170</v>
      </c>
      <c r="R143">
        <f>L143</f>
        <v>5</v>
      </c>
      <c r="S143">
        <f>Q143+20*R143</f>
        <v>270</v>
      </c>
      <c r="T143" t="str">
        <f>IF(O143&gt;S143," NG "," OK ")</f>
        <v xml:space="preserve"> NG </v>
      </c>
      <c r="U143" s="1"/>
      <c r="V143" s="1" t="str">
        <f>CONCATENATE("Lb/iy=",Z143,"/",AA143,"=",AB143,AC143,AD143,AE143)</f>
        <v xml:space="preserve">Lb/iy=1000/21=47.7 &lt; 65 OK </v>
      </c>
      <c r="Z143">
        <f>T142</f>
        <v>1000</v>
      </c>
      <c r="AA143" s="31">
        <f>N142</f>
        <v>21</v>
      </c>
      <c r="AB143">
        <f>ROUNDUP(Z143/AA143,1)</f>
        <v>47.7</v>
      </c>
      <c r="AC143" t="str">
        <f>IF(AB143&gt;AD143," &gt; "," &lt; ")</f>
        <v xml:space="preserve"> &lt; </v>
      </c>
      <c r="AD143">
        <f>IF(L134=1,65,50)</f>
        <v>65</v>
      </c>
      <c r="AE143" t="str">
        <f>IF(AB143&gt;AD143," NG "," OK ")</f>
        <v xml:space="preserve"> OK </v>
      </c>
    </row>
    <row r="144" spans="1:32">
      <c r="A144" s="43" t="str">
        <f>IF(AND(M127=1,M144=1),"-","")</f>
        <v>-</v>
      </c>
      <c r="B144" s="1" t="str">
        <f>IF(AND(M127=1,M144=1),"Check web bolts strength","")</f>
        <v>Check web bolts strength</v>
      </c>
      <c r="D144" s="4"/>
      <c r="E144" s="4"/>
      <c r="F144" s="4"/>
      <c r="G144" s="4"/>
      <c r="H144" s="4"/>
      <c r="I144" s="4"/>
      <c r="J144" s="5"/>
      <c r="K144" t="s">
        <v>278</v>
      </c>
      <c r="M144" s="27">
        <v>1</v>
      </c>
      <c r="N144" t="s">
        <v>277</v>
      </c>
    </row>
    <row r="145" spans="1:24">
      <c r="A145" s="9"/>
      <c r="B145" s="1" t="str">
        <f>IF(AND(M127=1,M144=1),CONCATENATE(K145,"-M",L145,", Ab=",M145,", ",N145,", σu=",O145,"N/mm2, ",P145,Q145,R145,U145),"")</f>
        <v>5-M22, Ab=380, F10T, σu=1000N/mm2, qbu=228kN   Bolt bending center distance y=240</v>
      </c>
      <c r="J145" s="10"/>
      <c r="K145" s="27">
        <v>5</v>
      </c>
      <c r="L145" s="100">
        <v>22</v>
      </c>
      <c r="M145">
        <f>ROUND(L145^2/4*PI(),0)</f>
        <v>380</v>
      </c>
      <c r="N145" s="27" t="s">
        <v>88</v>
      </c>
      <c r="O145" s="27">
        <v>1000</v>
      </c>
      <c r="P145" t="s">
        <v>87</v>
      </c>
      <c r="Q145">
        <f>ROUND(0.6*M145*O145/1000,1)</f>
        <v>228</v>
      </c>
      <c r="R145" s="1" t="s">
        <v>292</v>
      </c>
      <c r="U145" s="96">
        <f>60*(K145-1)</f>
        <v>240</v>
      </c>
    </row>
    <row r="146" spans="1:24">
      <c r="A146" s="9"/>
      <c r="B146" t="str">
        <f>IF(AND(M127=1,M144=1),CONCATENATE(L146,M146,N146," Qu=",O146,"×",M146,"=",P146,"kN",Q146,R146,S146,T146),"")</f>
        <v xml:space="preserve">Shear: Considering 3bolts at the center Qu=228×3=684kN &gt; Vp=203.3 OK </v>
      </c>
      <c r="D146" s="1"/>
      <c r="J146" s="10"/>
      <c r="L146" s="30" t="s">
        <v>293</v>
      </c>
      <c r="M146" s="27">
        <f>K145-2*M147</f>
        <v>3</v>
      </c>
      <c r="N146" t="str">
        <f>IF(M146=1,"bolt at the center", "bolts at the center")</f>
        <v>bolts at the center</v>
      </c>
      <c r="O146">
        <f>Q145</f>
        <v>228</v>
      </c>
      <c r="P146">
        <f>M146*O146</f>
        <v>684</v>
      </c>
      <c r="Q146" t="str">
        <f>IF(P146&gt;S146," &gt; "," &gt; ")</f>
        <v xml:space="preserve"> &gt; </v>
      </c>
      <c r="R146" t="s">
        <v>9</v>
      </c>
      <c r="S146" s="31">
        <f>P138</f>
        <v>203.3</v>
      </c>
      <c r="T146" t="str">
        <f>IF(P146&gt;S146," OK "," NG ")</f>
        <v xml:space="preserve"> OK </v>
      </c>
    </row>
    <row r="147" spans="1:24">
      <c r="A147" s="9"/>
      <c r="B147" t="str">
        <f>IF(AND(M127=1,M144=1),CONCATENATE(L147,M147,N147,M147,"×",P147,"×",Q147,"/1000=",R147,S147,T147,U147,V147),"")</f>
        <v xml:space="preserve">Bending: considering1bolt at the edge1×228×240/1000=54.7 &gt; jMwu=91kNm NG </v>
      </c>
      <c r="D147" s="1"/>
      <c r="J147" s="10"/>
      <c r="L147" s="30" t="s">
        <v>294</v>
      </c>
      <c r="M147" s="27">
        <v>1</v>
      </c>
      <c r="N147" t="str">
        <f>IF(M147=1,"bolt at the edge", "bolts at the edge")</f>
        <v>bolt at the edge</v>
      </c>
      <c r="P147">
        <f>Q145</f>
        <v>228</v>
      </c>
      <c r="Q147">
        <f>U145</f>
        <v>240</v>
      </c>
      <c r="R147">
        <f>ROUND(M147*P147*Q147/1000,1)</f>
        <v>54.7</v>
      </c>
      <c r="S147" t="str">
        <f>IF(R147&gt;U147," &gt; "," &gt; ")</f>
        <v xml:space="preserve"> &gt; </v>
      </c>
      <c r="T147" t="s">
        <v>77</v>
      </c>
      <c r="U147" s="31">
        <f>R127</f>
        <v>91</v>
      </c>
      <c r="V147" t="str">
        <f>IF(R147&gt;U147,"kNm OK ","kNm NG ")</f>
        <v xml:space="preserve">kNm NG </v>
      </c>
    </row>
    <row r="148" spans="1:24">
      <c r="A148" s="9"/>
      <c r="B148" t="str">
        <f>IF(OR(M144=2,R147&gt;U147),"",IF(M127=1,CONCATENATE(K148,M148,N148,O148,P148,Q148,R148,S148,T148,U148,W148,X148),""))</f>
        <v>Reinforcement welding,vL=80mm, hL=60mm, s=12mm, Le=92mm, Weld distance jb2=240mm</v>
      </c>
      <c r="D148" s="1"/>
      <c r="J148" s="10"/>
      <c r="K148" t="s">
        <v>296</v>
      </c>
      <c r="M148" t="s">
        <v>140</v>
      </c>
      <c r="N148" s="27">
        <v>80</v>
      </c>
      <c r="O148" t="s">
        <v>141</v>
      </c>
      <c r="P148" s="27">
        <v>60</v>
      </c>
      <c r="Q148" s="31" t="s">
        <v>91</v>
      </c>
      <c r="R148" s="27">
        <f>T127</f>
        <v>12</v>
      </c>
      <c r="S148" t="s">
        <v>92</v>
      </c>
      <c r="T148" s="27">
        <f>N148+P148-4*R148</f>
        <v>92</v>
      </c>
      <c r="U148" s="1" t="s">
        <v>295</v>
      </c>
      <c r="W148" s="27">
        <f>(K145-1)*60+2*40-N148</f>
        <v>240</v>
      </c>
      <c r="X148" t="s">
        <v>10</v>
      </c>
    </row>
    <row r="149" spans="1:24">
      <c r="A149" s="9"/>
      <c r="B149" t="str">
        <f>IF(OR(M144=2,R147&gt;U147),"",IF(M127=1,CONCATENATE(K149,L149,"×",M149,"×",N149,O149,P149,Q149),""))</f>
        <v>Q'=0.7×12×92×400/(√3×1000)=178kN</v>
      </c>
      <c r="D149" s="1"/>
      <c r="J149" s="10"/>
      <c r="K149" s="1" t="s">
        <v>89</v>
      </c>
      <c r="L149" s="1">
        <f>R148</f>
        <v>12</v>
      </c>
      <c r="M149">
        <f>T148</f>
        <v>92</v>
      </c>
      <c r="N149" s="27">
        <f>IF(L134=1,400,490)</f>
        <v>400</v>
      </c>
      <c r="O149" s="11" t="s">
        <v>137</v>
      </c>
      <c r="P149">
        <f>ROUNDDOWN(0.7*L149*M149*N149/1732,0)</f>
        <v>178</v>
      </c>
      <c r="Q149" t="s">
        <v>17</v>
      </c>
    </row>
    <row r="150" spans="1:24">
      <c r="A150" s="6"/>
      <c r="B150" s="28" t="str">
        <f>IF(OR(M144=2,R147&gt;U147),"",IF(M127=1,CONCATENATE(K150,L150,"+",M150,"×",O150,"/1000=",L150,"+",P150,"=",Q150,R150,S150,T150),""))</f>
        <v xml:space="preserve">M'=54.7+178×240/1000=54.7+42.7=97.4 &gt; 91kNm  OK </v>
      </c>
      <c r="C150" s="28"/>
      <c r="D150" s="45"/>
      <c r="E150" s="28"/>
      <c r="F150" s="28"/>
      <c r="G150" s="28"/>
      <c r="H150" s="28"/>
      <c r="I150" s="28"/>
      <c r="J150" s="7"/>
      <c r="K150" t="s">
        <v>90</v>
      </c>
      <c r="L150" s="31">
        <f>R147</f>
        <v>54.7</v>
      </c>
      <c r="M150" s="31">
        <f>P149</f>
        <v>178</v>
      </c>
      <c r="N150" s="29" t="s">
        <v>297</v>
      </c>
      <c r="O150" s="1">
        <f>W148</f>
        <v>240</v>
      </c>
      <c r="P150">
        <f>ROUND(M150*O150/1000,1)</f>
        <v>42.7</v>
      </c>
      <c r="Q150" s="39">
        <f>L150+P150</f>
        <v>97.4</v>
      </c>
      <c r="R150" t="str">
        <f>IF(Q150&gt;T150," &gt; "," &gt; ")</f>
        <v xml:space="preserve"> &gt; </v>
      </c>
      <c r="S150" s="2">
        <f>U147</f>
        <v>91</v>
      </c>
      <c r="T150" t="str">
        <f>IF(Q150&gt;S150,"kNm  OK ","kNm  NG ")</f>
        <v xml:space="preserve">kNm  OK </v>
      </c>
    </row>
    <row r="151" spans="1:24">
      <c r="D151" s="1"/>
      <c r="L151" s="31"/>
      <c r="M151" s="31"/>
      <c r="N151" s="29"/>
      <c r="O151" s="1"/>
      <c r="Q151" s="39"/>
      <c r="S151" s="2"/>
    </row>
    <row r="152" spans="1:24">
      <c r="D152" s="1"/>
      <c r="L152" s="31"/>
      <c r="M152" s="31"/>
      <c r="N152" s="29"/>
      <c r="O152" s="1"/>
      <c r="Q152" s="39"/>
      <c r="S152" s="2"/>
    </row>
    <row r="153" spans="1:24">
      <c r="D153" s="1"/>
      <c r="L153" s="31"/>
      <c r="M153" s="31"/>
      <c r="N153" s="29"/>
      <c r="O153" s="1"/>
      <c r="Q153" s="39"/>
      <c r="S153" s="2"/>
    </row>
    <row r="154" spans="1:24">
      <c r="D154" s="1"/>
      <c r="L154" s="31"/>
      <c r="M154" s="31"/>
      <c r="N154" s="29"/>
      <c r="O154" s="1"/>
      <c r="Q154" s="39"/>
      <c r="S154" s="2"/>
    </row>
    <row r="155" spans="1:24">
      <c r="D155" s="1"/>
      <c r="L155" s="31"/>
      <c r="M155" s="31"/>
      <c r="N155" s="29"/>
      <c r="O155" s="1"/>
      <c r="Q155" s="39"/>
      <c r="S155" s="2"/>
    </row>
    <row r="156" spans="1:24">
      <c r="D156" s="1"/>
      <c r="L156" s="31"/>
      <c r="M156" s="31"/>
      <c r="N156" s="29"/>
      <c r="O156" s="1"/>
      <c r="Q156" s="39"/>
      <c r="S156" s="2"/>
    </row>
    <row r="157" spans="1:24">
      <c r="D157" s="1"/>
      <c r="L157" s="31"/>
      <c r="M157" s="31"/>
      <c r="N157" s="29"/>
      <c r="O157" s="1"/>
      <c r="Q157" s="39"/>
      <c r="S157" s="2"/>
    </row>
    <row r="158" spans="1:24">
      <c r="D158" s="1"/>
      <c r="L158" s="31"/>
      <c r="M158" s="31"/>
      <c r="N158" s="29"/>
      <c r="O158" s="1"/>
      <c r="Q158" s="39"/>
      <c r="S158" s="2"/>
    </row>
    <row r="159" spans="1:24">
      <c r="D159" s="1"/>
      <c r="L159" s="31"/>
      <c r="M159" s="31"/>
      <c r="N159" s="29"/>
      <c r="O159" s="1"/>
      <c r="Q159" s="39"/>
      <c r="S159" s="2"/>
    </row>
    <row r="160" spans="1:24">
      <c r="D160" s="1"/>
      <c r="L160" s="31"/>
      <c r="M160" s="31"/>
      <c r="N160" s="29"/>
      <c r="O160" s="1"/>
      <c r="Q160" s="39"/>
      <c r="S160" s="2"/>
    </row>
    <row r="161" spans="4:19">
      <c r="D161" s="1"/>
      <c r="L161" s="31"/>
      <c r="M161" s="31"/>
      <c r="N161" s="29"/>
      <c r="O161" s="1"/>
      <c r="Q161" s="39"/>
      <c r="S161" s="2"/>
    </row>
    <row r="162" spans="4:19">
      <c r="D162" s="1"/>
      <c r="L162" s="31"/>
      <c r="M162" s="31"/>
      <c r="N162" s="29"/>
      <c r="O162" s="1"/>
      <c r="Q162" s="39"/>
      <c r="S162" s="2"/>
    </row>
    <row r="163" spans="4:19">
      <c r="D163" s="1"/>
      <c r="L163" s="31"/>
      <c r="M163" s="31"/>
      <c r="N163" s="29"/>
      <c r="O163" s="1"/>
      <c r="Q163" s="39"/>
      <c r="S163" s="2"/>
    </row>
    <row r="164" spans="4:19">
      <c r="D164" s="1"/>
      <c r="L164" s="31"/>
      <c r="M164" s="31"/>
      <c r="N164" s="29"/>
      <c r="O164" s="1"/>
      <c r="Q164" s="39"/>
      <c r="S164" s="2"/>
    </row>
    <row r="165" spans="4:19">
      <c r="D165" s="1"/>
      <c r="L165" s="31"/>
      <c r="M165" s="31"/>
      <c r="N165" s="29"/>
      <c r="O165" s="1"/>
      <c r="Q165" s="39"/>
      <c r="S165" s="2"/>
    </row>
    <row r="166" spans="4:19">
      <c r="D166" s="1"/>
      <c r="L166" s="31"/>
      <c r="M166" s="31"/>
      <c r="N166" s="29"/>
      <c r="O166" s="1"/>
      <c r="Q166" s="39"/>
      <c r="S166" s="2"/>
    </row>
    <row r="167" spans="4:19">
      <c r="D167" s="1"/>
      <c r="L167" s="31"/>
      <c r="M167" s="31"/>
      <c r="N167" s="29"/>
      <c r="O167" s="1"/>
      <c r="Q167" s="39"/>
      <c r="S167" s="2"/>
    </row>
    <row r="168" spans="4:19">
      <c r="D168" s="1"/>
      <c r="L168" s="31"/>
      <c r="M168" s="31"/>
      <c r="N168" s="29"/>
      <c r="O168" s="1"/>
      <c r="Q168" s="39"/>
      <c r="S168" s="2"/>
    </row>
    <row r="169" spans="4:19">
      <c r="D169" s="1"/>
      <c r="L169" s="31"/>
      <c r="M169" s="31"/>
      <c r="N169" s="29"/>
      <c r="O169" s="1"/>
      <c r="Q169" s="39"/>
      <c r="S169" s="2"/>
    </row>
    <row r="170" spans="4:19">
      <c r="D170" s="1"/>
      <c r="L170" s="31"/>
      <c r="M170" s="31"/>
      <c r="N170" s="29"/>
      <c r="O170" s="1"/>
      <c r="Q170" s="39"/>
      <c r="S170" s="2"/>
    </row>
    <row r="171" spans="4:19">
      <c r="D171" s="1"/>
      <c r="L171" s="31"/>
      <c r="M171" s="31"/>
      <c r="N171" s="29"/>
      <c r="O171" s="1"/>
      <c r="Q171" s="39"/>
      <c r="S171" s="2"/>
    </row>
    <row r="172" spans="4:19">
      <c r="D172" s="1"/>
      <c r="L172" s="31"/>
      <c r="M172" s="31"/>
      <c r="N172" s="29"/>
      <c r="O172" s="1"/>
      <c r="Q172" s="39"/>
      <c r="S172" s="2"/>
    </row>
    <row r="173" spans="4:19">
      <c r="D173" s="1"/>
      <c r="L173" s="31"/>
      <c r="M173" s="31"/>
      <c r="N173" s="29"/>
      <c r="O173" s="1"/>
      <c r="Q173" s="39"/>
      <c r="S173" s="2"/>
    </row>
    <row r="174" spans="4:19">
      <c r="D174" s="1"/>
      <c r="L174" s="31"/>
      <c r="M174" s="31"/>
      <c r="N174" s="29"/>
      <c r="O174" s="1"/>
      <c r="Q174" s="39"/>
      <c r="S174" s="2"/>
    </row>
    <row r="175" spans="4:19">
      <c r="D175" s="1"/>
      <c r="L175" s="31"/>
      <c r="M175" s="31"/>
      <c r="N175" s="29"/>
      <c r="O175" s="1"/>
      <c r="Q175" s="39"/>
      <c r="S175" s="2"/>
    </row>
    <row r="176" spans="4:19">
      <c r="D176" s="1"/>
      <c r="L176" s="31"/>
      <c r="M176" s="31"/>
      <c r="N176" s="29"/>
      <c r="O176" s="1"/>
      <c r="Q176" s="39"/>
      <c r="S176" s="2"/>
    </row>
    <row r="177" spans="4:19">
      <c r="D177" s="1"/>
      <c r="L177" s="31"/>
      <c r="M177" s="31"/>
      <c r="N177" s="29"/>
      <c r="O177" s="1"/>
      <c r="Q177" s="39"/>
      <c r="S177" s="2"/>
    </row>
    <row r="178" spans="4:19">
      <c r="D178" s="1"/>
      <c r="L178" s="31"/>
      <c r="M178" s="31"/>
      <c r="N178" s="29"/>
      <c r="O178" s="1"/>
      <c r="Q178" s="39"/>
      <c r="S178" s="2"/>
    </row>
    <row r="179" spans="4:19">
      <c r="D179" s="1"/>
      <c r="L179" s="31"/>
      <c r="M179" s="31"/>
      <c r="N179" s="29"/>
      <c r="O179" s="1"/>
      <c r="Q179" s="39"/>
      <c r="S179" s="2"/>
    </row>
    <row r="180" spans="4:19">
      <c r="D180" s="1"/>
      <c r="L180" s="31"/>
      <c r="M180" s="31"/>
      <c r="N180" s="29"/>
      <c r="O180" s="1"/>
      <c r="Q180" s="39"/>
      <c r="S180" s="2"/>
    </row>
  </sheetData>
  <phoneticPr fontId="3"/>
  <dataValidations disablePrompts="1" count="1">
    <dataValidation type="list" allowBlank="1" showInputMessage="1" showErrorMessage="1" sqref="M38 M68 M98 M128" xr:uid="{0042909A-D366-41ED-A827-78892CD10465}">
      <formula1>"0,1,2"</formula1>
    </dataValidation>
  </dataValidations>
  <pageMargins left="0.78740157480314965" right="0.59055118110236227" top="0.78740157480314965" bottom="0.59055118110236227" header="0.51181102362204722" footer="0.51181102362204722"/>
  <pageSetup paperSize="9" orientation="portrait" horizontalDpi="4294967293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BD286-5A0D-4E83-AC8B-3870AE052A8D}">
  <sheetPr>
    <tabColor rgb="FFFFC000"/>
  </sheetPr>
  <dimension ref="A1:AH60"/>
  <sheetViews>
    <sheetView view="pageBreakPreview" zoomScaleNormal="100" zoomScaleSheetLayoutView="100" workbookViewId="0">
      <selection activeCell="K1" sqref="K1"/>
    </sheetView>
  </sheetViews>
  <sheetFormatPr defaultRowHeight="13.5"/>
  <cols>
    <col min="1" max="1" width="6.375" customWidth="1"/>
  </cols>
  <sheetData>
    <row r="1" spans="1:8">
      <c r="A1" s="57" t="s">
        <v>249</v>
      </c>
    </row>
    <row r="15" spans="1:8">
      <c r="H15" t="s">
        <v>299</v>
      </c>
    </row>
    <row r="16" spans="1:8">
      <c r="C16" t="s">
        <v>298</v>
      </c>
    </row>
    <row r="19" spans="1:25">
      <c r="E19" s="30" t="s">
        <v>139</v>
      </c>
      <c r="F19" t="s">
        <v>253</v>
      </c>
    </row>
    <row r="20" spans="1:25">
      <c r="F20" t="s">
        <v>254</v>
      </c>
    </row>
    <row r="21" spans="1:25">
      <c r="F21" t="s">
        <v>255</v>
      </c>
    </row>
    <row r="22" spans="1:25">
      <c r="F22" t="s">
        <v>256</v>
      </c>
    </row>
    <row r="23" spans="1:25">
      <c r="E23" s="30" t="s">
        <v>139</v>
      </c>
      <c r="F23" t="s">
        <v>257</v>
      </c>
    </row>
    <row r="24" spans="1:25">
      <c r="F24" t="s">
        <v>258</v>
      </c>
    </row>
    <row r="25" spans="1:25">
      <c r="F25" t="s">
        <v>259</v>
      </c>
    </row>
    <row r="26" spans="1:25">
      <c r="F26" t="s">
        <v>375</v>
      </c>
    </row>
    <row r="27" spans="1:25">
      <c r="F27" t="s">
        <v>369</v>
      </c>
    </row>
    <row r="28" spans="1:25">
      <c r="F28" t="s">
        <v>260</v>
      </c>
    </row>
    <row r="30" spans="1:25">
      <c r="C30" t="s">
        <v>261</v>
      </c>
    </row>
    <row r="31" spans="1:25">
      <c r="A31" t="str">
        <f>IF(K31="","",K31)</f>
        <v>ERBS section check</v>
      </c>
      <c r="K31" s="27" t="s">
        <v>304</v>
      </c>
      <c r="R31" s="35"/>
      <c r="S31" s="35"/>
    </row>
    <row r="32" spans="1:25">
      <c r="A32" s="3" t="s">
        <v>305</v>
      </c>
      <c r="B32" s="4"/>
      <c r="C32" s="97"/>
      <c r="D32" s="4"/>
      <c r="E32" s="5"/>
      <c r="F32" s="8" t="str">
        <f>CONCATENATE("Position: ",N32,O32,P32,Q32,R32,"-",S32,T32,"  ",U32)</f>
        <v>Position: RFL Level,  2axis,　A-B  RG1y</v>
      </c>
      <c r="G32" s="8"/>
      <c r="H32" s="8"/>
      <c r="I32" s="8"/>
      <c r="J32" s="61"/>
      <c r="K32" s="34" t="s">
        <v>131</v>
      </c>
      <c r="L32" t="s">
        <v>147</v>
      </c>
      <c r="M32" s="27">
        <v>10</v>
      </c>
      <c r="N32" s="27" t="str">
        <f>INDEX(str!A:U,MATCH(M32,str!A:A,0),2)</f>
        <v>RFL</v>
      </c>
      <c r="O32" t="s">
        <v>306</v>
      </c>
      <c r="P32" s="27">
        <f>INDEX(str!A:U,MATCH(M32,str!A:A,0),3)</f>
        <v>2</v>
      </c>
      <c r="Q32" t="s">
        <v>307</v>
      </c>
      <c r="R32" s="27" t="str">
        <f>INDEX(str!A:U,MATCH(M32,str!A:A,0),4)</f>
        <v>A</v>
      </c>
      <c r="S32" s="27" t="str">
        <f>INDEX(str!A:U,MATCH(M32,str!A:A,0),5)</f>
        <v>B</v>
      </c>
      <c r="U32" s="27" t="str">
        <f>INDEX(str!A:U,MATCH(M32,str!A:A,0),6)</f>
        <v>RG1y</v>
      </c>
      <c r="V32" s="27"/>
      <c r="W32" s="27"/>
      <c r="X32" s="27"/>
      <c r="Y32" s="56"/>
    </row>
    <row r="33" spans="1:29">
      <c r="A33" s="43" t="s">
        <v>264</v>
      </c>
      <c r="B33" t="str">
        <f>CONCATENATE(K33,L33,"×",M33,"×",N33,"×",O33,"×r",P33,") Zpx=",R33,",A=",S33,", Iy=",T33,",iy=",U33)</f>
        <v>Beam: reduced section H-400×170×9×16×r0) Zpx=1349,A=87.5, Iy=1312,iy=3.87</v>
      </c>
      <c r="F33" s="4"/>
      <c r="G33" s="4"/>
      <c r="H33" s="4"/>
      <c r="I33" s="4"/>
      <c r="J33" s="5"/>
      <c r="K33" t="s">
        <v>308</v>
      </c>
      <c r="L33" s="66">
        <f>IF(M40=0,M39,M40)</f>
        <v>400</v>
      </c>
      <c r="M33" s="67">
        <f>IF(N40=0,N39,N40)</f>
        <v>170</v>
      </c>
      <c r="N33" s="74">
        <v>9</v>
      </c>
      <c r="O33" s="75">
        <v>16</v>
      </c>
      <c r="P33" s="76">
        <v>0</v>
      </c>
      <c r="Q33" s="35"/>
      <c r="R33" s="65">
        <f>ROUND(1/4*(M33*L33^2-M33*(L33-2*O33)^2+N33*(L33-2*O33)^2)/1000+4*0.2146*P33^2*(L33/2-O33-0.2234*P33)/1000,0)</f>
        <v>1349</v>
      </c>
      <c r="S33" s="69">
        <f>ROUND((L33*M33-(L33-2*O33)*(M33-N33)+4*(P33^2-PI()*P33^2/4))/100,1)</f>
        <v>87.5</v>
      </c>
      <c r="T33" s="70">
        <f>ROUND(1/12*(2*O33*M33^3+(L33-2*O33)*N33^3)/10000+(4*0.2146*P33^2*(N33/2+0.2234*P33)^2+4*0.0075*P33^4)/10000,0)</f>
        <v>1312</v>
      </c>
      <c r="U33" s="71">
        <f>ROUND(SQRT(T33/S33),2)</f>
        <v>3.87</v>
      </c>
    </row>
    <row r="34" spans="1:29">
      <c r="A34" s="43" t="s">
        <v>264</v>
      </c>
      <c r="B34" t="str">
        <f>CONCATENATE(K34,L34,"×",M34,"×",N34,"×",O34,"×r",P34,") Zpx=",R34)</f>
        <v>Beam: column face H-400×300×0×16×r0) Zpx=1843</v>
      </c>
      <c r="J34" s="10"/>
      <c r="K34" t="s">
        <v>364</v>
      </c>
      <c r="L34" s="66">
        <f>L33</f>
        <v>400</v>
      </c>
      <c r="M34" s="67">
        <f>C39</f>
        <v>300</v>
      </c>
      <c r="N34" s="74">
        <v>0</v>
      </c>
      <c r="O34" s="68">
        <f>O33</f>
        <v>16</v>
      </c>
      <c r="P34" s="76">
        <v>0</v>
      </c>
      <c r="Q34" s="35"/>
      <c r="R34" s="65">
        <f>ROUND(1/4*(M34*L34^2-M34*(L34-2*O34)^2+N34*(L34-2*O34)^2)/1000+4*0.2146*P34^2*(L34/2-O34-0.2234*P34)/1000,0)</f>
        <v>1843</v>
      </c>
    </row>
    <row r="35" spans="1:29">
      <c r="A35" s="43" t="s">
        <v>264</v>
      </c>
      <c r="B35" t="str">
        <f>CONCATENATE(K35,M35,V35)</f>
        <v>column section H-400 (SN400)</v>
      </c>
      <c r="F35" t="str">
        <f>IF(M37=1,CONCATENATE(R36,S36),"")</f>
        <v>web hight ls=260</v>
      </c>
      <c r="J35" s="10"/>
      <c r="K35" t="s">
        <v>366</v>
      </c>
      <c r="L35" s="35"/>
      <c r="M35" s="105">
        <v>400</v>
      </c>
      <c r="N35" s="105"/>
      <c r="O35" s="73"/>
      <c r="P35" s="30" t="s">
        <v>281</v>
      </c>
      <c r="Q35" s="27">
        <v>1</v>
      </c>
      <c r="R35" s="11" t="s">
        <v>142</v>
      </c>
      <c r="U35">
        <f>IF(Q35=1,235,IF(Q35=2,325,Y35))</f>
        <v>235</v>
      </c>
      <c r="V35" t="str">
        <f>IF(Q35=1," (SN400)",IF(Q35=2," (SN490)",X35))</f>
        <v xml:space="preserve"> (SN400)</v>
      </c>
      <c r="W35" s="30" t="s">
        <v>116</v>
      </c>
      <c r="X35" s="27" t="s">
        <v>143</v>
      </c>
      <c r="Y35" s="27">
        <v>325</v>
      </c>
    </row>
    <row r="36" spans="1:29">
      <c r="A36" s="6"/>
      <c r="B36" s="28" t="str">
        <f>CONCATENATE(" Internodal distance L=",J45)</f>
        <v xml:space="preserve"> Internodal distance L=7000 mm</v>
      </c>
      <c r="C36" s="28"/>
      <c r="D36" s="28"/>
      <c r="E36" s="28"/>
      <c r="F36" s="28" t="str">
        <f>IF(M37=1,CONCATENATE("  tg=",T37,"mm ",O37,P37,", ",Q37,R37,"kNm"),"")</f>
        <v xml:space="preserve">  tg=9mm Zwpe=152100, jMwu=36kNm</v>
      </c>
      <c r="G36" s="28"/>
      <c r="H36" s="28"/>
      <c r="I36" s="28"/>
      <c r="J36" s="7"/>
      <c r="L36" s="30"/>
      <c r="M36" s="62"/>
      <c r="N36" s="30"/>
      <c r="O36" s="55"/>
      <c r="P36" s="30" t="s">
        <v>74</v>
      </c>
      <c r="Q36">
        <v>1</v>
      </c>
      <c r="R36" s="35" t="s">
        <v>309</v>
      </c>
      <c r="S36" s="27">
        <f>(4-1)*60+2*40</f>
        <v>260</v>
      </c>
    </row>
    <row r="37" spans="1:29">
      <c r="A37" s="46" t="s">
        <v>264</v>
      </c>
      <c r="B37" s="4" t="str">
        <f>CONCATENATE("RBS shape",IF(M38=0,"",K38))</f>
        <v>RBS shape</v>
      </c>
      <c r="C37" s="4"/>
      <c r="D37" s="4"/>
      <c r="E37" s="4"/>
      <c r="F37" s="4"/>
      <c r="G37" s="4"/>
      <c r="H37" s="4"/>
      <c r="I37" s="4"/>
      <c r="J37" s="115" t="str">
        <f>IF(U38&lt;5,"[スパン/梁成]&lt;5 : チェック","")</f>
        <v/>
      </c>
      <c r="K37" t="s">
        <v>310</v>
      </c>
      <c r="L37" s="35"/>
      <c r="M37" s="27">
        <v>1</v>
      </c>
      <c r="O37" s="30" t="s">
        <v>76</v>
      </c>
      <c r="P37">
        <f>ROUND((S36^2*T37)/4,0)</f>
        <v>152100</v>
      </c>
      <c r="Q37" s="30" t="s">
        <v>77</v>
      </c>
      <c r="R37">
        <f>ROUND(Q36*P37*U35/1000000,0)</f>
        <v>36</v>
      </c>
      <c r="S37" s="30" t="s">
        <v>117</v>
      </c>
      <c r="T37" s="27">
        <f>N33</f>
        <v>9</v>
      </c>
    </row>
    <row r="38" spans="1:29">
      <c r="A38" s="9"/>
      <c r="B38" s="30" t="s">
        <v>5</v>
      </c>
      <c r="C38" s="41">
        <f>IF(M40=0,M39,M40)</f>
        <v>400</v>
      </c>
      <c r="F38" t="str">
        <f>CONCATENATE(L41,M41,"mm",N41,O41,"mm")</f>
        <v xml:space="preserve">  H type  f=2bf/3=200mm   f1=0.2f=40mm</v>
      </c>
      <c r="J38" s="10"/>
      <c r="K38" s="117" t="str">
        <f>IF(M38=0,"both end RBS",IF(M38=1,"  (left pin)","  (right pin)"))</f>
        <v>both end RBS</v>
      </c>
      <c r="L38" s="98"/>
      <c r="M38" s="27">
        <v>0</v>
      </c>
      <c r="N38" s="11" t="s">
        <v>311</v>
      </c>
      <c r="R38" s="30" t="s">
        <v>283</v>
      </c>
      <c r="S38">
        <f>O47-P47</f>
        <v>6600</v>
      </c>
      <c r="T38" s="30" t="s">
        <v>196</v>
      </c>
      <c r="U38">
        <f>IF(M38=0,ROUNDUP(S38/L34,2),ROUNDUP(2*S38/L34,2))</f>
        <v>16.5</v>
      </c>
    </row>
    <row r="39" spans="1:29">
      <c r="A39" s="9"/>
      <c r="B39" s="30" t="s">
        <v>56</v>
      </c>
      <c r="C39" s="41">
        <f>IF(L40=0,L39,L40)</f>
        <v>300</v>
      </c>
      <c r="D39" s="30" t="s">
        <v>4</v>
      </c>
      <c r="E39" s="41">
        <f>IF(O40=0,O39,O40)</f>
        <v>300</v>
      </c>
      <c r="F39" t="str">
        <f>CONCATENATE(L42,M42,"mm",N42,O42,"mm")</f>
        <v xml:space="preserve">  BH type f=1.2bf=360mm   f1=0.1f=36mm</v>
      </c>
      <c r="J39" s="10"/>
      <c r="K39" t="s">
        <v>312</v>
      </c>
      <c r="L39" s="92">
        <f>O39</f>
        <v>300</v>
      </c>
      <c r="M39" s="99">
        <f>INDEX(List!A:S,MATCH(wf!K32,List!A:A,0),2)</f>
        <v>400</v>
      </c>
      <c r="N39" s="90">
        <f>INDEX(List!A:S,MATCH(wf!K32,List!A:A,0),3)</f>
        <v>170</v>
      </c>
      <c r="O39" s="79">
        <f>INDEX(List!A:S,MATCH(wf!K32,List!A:A,0),4)</f>
        <v>300</v>
      </c>
      <c r="P39" s="81">
        <f>INDEX(List!A:S,MATCH(wf!K32,List!A:A,0),5)</f>
        <v>200</v>
      </c>
      <c r="Q39" s="83">
        <f>INDEX(List!A:S,MATCH(wf!K32,List!A:A,0),6)</f>
        <v>150</v>
      </c>
      <c r="R39" s="85">
        <f>INDEX(List!A:S,MATCH(wf!K32,List!A:A,0),7)</f>
        <v>340</v>
      </c>
      <c r="S39" s="87">
        <f>INDEX(List!A:S,MATCH(wf!K32,List!A:A,0),8)</f>
        <v>65</v>
      </c>
      <c r="T39" s="76">
        <f>INDEX(List!A:S,MATCH(wf!K32,List!A:A,0),9)</f>
        <v>255</v>
      </c>
    </row>
    <row r="40" spans="1:29">
      <c r="A40" s="9"/>
      <c r="B40" s="30" t="s">
        <v>52</v>
      </c>
      <c r="C40" s="41">
        <f>IF(N40=0,N39,N40)</f>
        <v>170</v>
      </c>
      <c r="D40" s="30" t="s">
        <v>53</v>
      </c>
      <c r="E40" s="41">
        <f>IF(P40=0,P39,P40)</f>
        <v>200</v>
      </c>
      <c r="F40" t="str">
        <f>CONCATENATE("  bf1/bf0=",ROUND(C40/E40,3),IF(ROUND(C40/E40,3)&lt;=0.85," &lt; "," &gt; "),"0.85",IF(ROUND(C40/E40,3)&lt;=0.85,"OK","NG"))</f>
        <v xml:space="preserve">  bf1/bf0=0.85 &lt; 0.85OK</v>
      </c>
      <c r="J40" s="10"/>
      <c r="K40" t="s">
        <v>313</v>
      </c>
      <c r="L40" s="93">
        <v>0</v>
      </c>
      <c r="M40" s="78">
        <v>0</v>
      </c>
      <c r="N40" s="91">
        <v>0</v>
      </c>
      <c r="O40" s="80">
        <v>0</v>
      </c>
      <c r="P40" s="82">
        <v>0</v>
      </c>
      <c r="Q40" s="84">
        <v>0</v>
      </c>
      <c r="R40" s="86">
        <v>0</v>
      </c>
      <c r="S40" s="88">
        <v>0</v>
      </c>
      <c r="T40" s="89">
        <v>0</v>
      </c>
    </row>
    <row r="41" spans="1:29">
      <c r="A41" s="9"/>
      <c r="B41" s="30" t="s">
        <v>6</v>
      </c>
      <c r="C41" s="41">
        <f>IF(Q40=0,Q39,Q40)</f>
        <v>150</v>
      </c>
      <c r="D41" t="s">
        <v>11</v>
      </c>
      <c r="F41" s="30" t="s">
        <v>12</v>
      </c>
      <c r="G41" s="40">
        <f>C41/E39</f>
        <v>0.5</v>
      </c>
      <c r="H41" t="str">
        <f>IF(AND(0.5&lt;=G41,G41&lt;=0.75),"OK","NG")</f>
        <v>OK</v>
      </c>
      <c r="J41" s="10"/>
      <c r="L41" t="s">
        <v>314</v>
      </c>
      <c r="M41">
        <f>ROUND(2*E39/3,0)</f>
        <v>200</v>
      </c>
      <c r="N41" t="s">
        <v>54</v>
      </c>
      <c r="O41">
        <f>ROUND(0.2*M41,0)</f>
        <v>40</v>
      </c>
    </row>
    <row r="42" spans="1:29">
      <c r="A42" s="9"/>
      <c r="B42" s="30" t="s">
        <v>1</v>
      </c>
      <c r="C42" s="41">
        <f>IF(R40=0,R39,R40)</f>
        <v>340</v>
      </c>
      <c r="D42" t="s">
        <v>13</v>
      </c>
      <c r="F42" s="30" t="s">
        <v>14</v>
      </c>
      <c r="G42" s="40">
        <f>C42/C38</f>
        <v>0.85</v>
      </c>
      <c r="H42" t="str">
        <f>IF(AND(0.65&lt;=G42,G42&lt;=0.85),"OK","NG")</f>
        <v>OK</v>
      </c>
      <c r="J42" s="10"/>
      <c r="L42" t="s">
        <v>315</v>
      </c>
      <c r="M42">
        <f>ROUND(1.2*E39,0)</f>
        <v>360</v>
      </c>
      <c r="N42" t="s">
        <v>55</v>
      </c>
      <c r="O42">
        <f>ROUND(0.1*M42,0)</f>
        <v>36</v>
      </c>
    </row>
    <row r="43" spans="1:29">
      <c r="A43" s="9"/>
      <c r="B43" s="30" t="s">
        <v>2</v>
      </c>
      <c r="C43" s="41">
        <f>IF(S40=0,S39,S40)</f>
        <v>65</v>
      </c>
      <c r="D43" t="s">
        <v>16</v>
      </c>
      <c r="F43" s="30" t="s">
        <v>15</v>
      </c>
      <c r="G43" s="40">
        <f>C43/E39</f>
        <v>0.21666666666666667</v>
      </c>
      <c r="H43" t="str">
        <f>IF(AND(0.2&lt;=G43,G43&lt;=0.25),"OK","NG")</f>
        <v>OK</v>
      </c>
      <c r="J43" s="10"/>
    </row>
    <row r="44" spans="1:29">
      <c r="A44" s="6"/>
      <c r="B44" s="47" t="s">
        <v>3</v>
      </c>
      <c r="C44" s="48">
        <f>ROUNDUP((4*C43^2+C42^2)/(8*C43),0)</f>
        <v>255</v>
      </c>
      <c r="D44" s="28" t="s">
        <v>96</v>
      </c>
      <c r="E44" s="49"/>
      <c r="F44" s="28" t="str">
        <f>CONCATENATE("b/2c=",ROUND(C42/(2*C43),1),"：flange reducing angle around b/2c=2.9")</f>
        <v>b/2c=2.6：flange reducing angle around b/2c=2.9</v>
      </c>
      <c r="G44" s="28"/>
      <c r="H44" s="28"/>
      <c r="I44" s="28"/>
      <c r="J44" s="7"/>
      <c r="K44" s="35" t="s">
        <v>316</v>
      </c>
      <c r="L44" s="27">
        <v>1</v>
      </c>
      <c r="M44" s="11" t="s">
        <v>68</v>
      </c>
      <c r="O44">
        <f>IF(L44=1,235,325)</f>
        <v>235</v>
      </c>
      <c r="P44" t="str">
        <f>IF(L44=1," (SN400)"," (SN490)")</f>
        <v xml:space="preserve"> (SN400)</v>
      </c>
    </row>
    <row r="45" spans="1:29">
      <c r="A45" s="46" t="s">
        <v>264</v>
      </c>
      <c r="B45" s="50" t="s">
        <v>321</v>
      </c>
      <c r="C45" s="51"/>
      <c r="D45" s="50" t="str">
        <f>CONCATENATE("σy=",O44," N/mm2 ", P44)</f>
        <v>σy=235 N/mm2  (SN400)</v>
      </c>
      <c r="E45" s="4"/>
      <c r="F45" s="4"/>
      <c r="G45" s="52" t="s">
        <v>57</v>
      </c>
      <c r="H45" s="50" t="str">
        <f>CONCATENATE(L45," kN")</f>
        <v>40 kN</v>
      </c>
      <c r="I45" s="51" t="s">
        <v>8</v>
      </c>
      <c r="J45" s="53" t="str">
        <f>CONCATENATE(L46," mm")</f>
        <v>7000 mm</v>
      </c>
      <c r="K45" s="30" t="s">
        <v>118</v>
      </c>
      <c r="L45" s="13">
        <f>IF(Q45=0,MAX(N45:O45),Q45)</f>
        <v>40</v>
      </c>
      <c r="M45" t="s">
        <v>17</v>
      </c>
      <c r="N45" s="94">
        <f>VLOOKUP(M32,str!A:Y,19,FALSE)</f>
        <v>40</v>
      </c>
      <c r="O45" s="95">
        <f>VLOOKUP(M32,str!A:Y,21,FALSE)</f>
        <v>40</v>
      </c>
      <c r="P45" t="s">
        <v>317</v>
      </c>
      <c r="Q45" s="27">
        <v>0</v>
      </c>
    </row>
    <row r="46" spans="1:29">
      <c r="A46" s="9"/>
      <c r="B46" s="29" t="s">
        <v>58</v>
      </c>
      <c r="C46" t="str">
        <f>CONCATENATE(C41,"+",C42,"/2 = ",O46,"mm")</f>
        <v>150+340/2 = 320mm</v>
      </c>
      <c r="G46" s="29" t="s">
        <v>59</v>
      </c>
      <c r="H46" s="33">
        <v>1.1499999999999999</v>
      </c>
      <c r="I46" s="29" t="s">
        <v>60</v>
      </c>
      <c r="J46" s="44">
        <v>1.1000000000000001</v>
      </c>
      <c r="K46" s="30" t="s">
        <v>8</v>
      </c>
      <c r="L46" s="27">
        <f>IF(Q46=0,VLOOKUP(M32,str!A:Y,8,FALSE),Q46)</f>
        <v>7000</v>
      </c>
      <c r="M46" t="s">
        <v>10</v>
      </c>
      <c r="N46" s="30" t="s">
        <v>58</v>
      </c>
      <c r="O46" s="42">
        <f>C41+C42/2</f>
        <v>320</v>
      </c>
      <c r="P46" s="30" t="s">
        <v>318</v>
      </c>
      <c r="Q46" s="27">
        <f>VLOOKUP(M32,str!A:Y,8,FALSE)*0</f>
        <v>0</v>
      </c>
    </row>
    <row r="47" spans="1:29">
      <c r="A47" s="9"/>
      <c r="B47" s="29" t="s">
        <v>7</v>
      </c>
      <c r="C47" t="str">
        <f>CONCATENATE(O47,"-",P47,"-",Q47,"×",R47,"=",S47,"mm")</f>
        <v>7000-400-2×320=5960mm</v>
      </c>
      <c r="F47" s="29" t="s">
        <v>61</v>
      </c>
      <c r="G47" t="str">
        <f>CONCATENATE(X47,"×",Y47,"×",Z47,"×",AA47,AB47,AC47," kNm")</f>
        <v>1.15×1.1×1349×235/1000 = 401 kNm</v>
      </c>
      <c r="J47" s="10"/>
      <c r="K47" s="27">
        <f>M35</f>
        <v>400</v>
      </c>
      <c r="L47" t="s">
        <v>319</v>
      </c>
      <c r="O47">
        <f>L46</f>
        <v>7000</v>
      </c>
      <c r="P47">
        <f>K47</f>
        <v>400</v>
      </c>
      <c r="Q47">
        <f>IF(M38=0,2,1)</f>
        <v>2</v>
      </c>
      <c r="R47">
        <f>O46</f>
        <v>320</v>
      </c>
      <c r="S47" s="1">
        <f>O47-P47-Q47*R47</f>
        <v>5960</v>
      </c>
      <c r="T47" t="s">
        <v>320</v>
      </c>
      <c r="V47" t="s">
        <v>64</v>
      </c>
      <c r="X47">
        <f>H46</f>
        <v>1.1499999999999999</v>
      </c>
      <c r="Y47">
        <f>J46</f>
        <v>1.1000000000000001</v>
      </c>
      <c r="Z47" s="32">
        <f>ROUND(R33,0)</f>
        <v>1349</v>
      </c>
      <c r="AA47">
        <f>O44</f>
        <v>235</v>
      </c>
      <c r="AB47" t="s">
        <v>70</v>
      </c>
      <c r="AC47" s="2">
        <f>ROUND(H46*J46*Z47*AA47/1000,1)</f>
        <v>401</v>
      </c>
    </row>
    <row r="48" spans="1:29">
      <c r="A48" s="9"/>
      <c r="B48" s="29" t="s">
        <v>9</v>
      </c>
      <c r="C48" t="str">
        <f>CONCATENATE(L48,"x",M48,"/",N48,"+",O48," = ",P48," kN")</f>
        <v>2x401/5.96+40 = 174.6 kN</v>
      </c>
      <c r="F48" s="29" t="s">
        <v>62</v>
      </c>
      <c r="G48" t="str">
        <f>CONCATENATE(R48,"×",S48,T48,U48,V48)</f>
        <v>174.6×320/1000 = 55.9kNm</v>
      </c>
      <c r="J48" s="10"/>
      <c r="K48" t="s">
        <v>9</v>
      </c>
      <c r="L48">
        <f>IF(M38=0,2,1)</f>
        <v>2</v>
      </c>
      <c r="M48" s="32">
        <f>AC47</f>
        <v>401</v>
      </c>
      <c r="N48">
        <f>S47/1000</f>
        <v>5.96</v>
      </c>
      <c r="O48">
        <f>L45</f>
        <v>40</v>
      </c>
      <c r="P48" s="2">
        <f>ROUND((L48*M48)/(N48)+O48,1)</f>
        <v>174.6</v>
      </c>
      <c r="Q48" t="s">
        <v>62</v>
      </c>
      <c r="R48" s="32">
        <f>P48</f>
        <v>174.6</v>
      </c>
      <c r="S48">
        <f>O46</f>
        <v>320</v>
      </c>
      <c r="T48" s="11" t="s">
        <v>70</v>
      </c>
      <c r="U48" s="2">
        <f>ROUND(R48*S48/1000,1)</f>
        <v>55.9</v>
      </c>
      <c r="V48" t="s">
        <v>19</v>
      </c>
    </row>
    <row r="49" spans="1:34">
      <c r="A49" s="9"/>
      <c r="B49" s="29" t="s">
        <v>63</v>
      </c>
      <c r="C49" t="str">
        <f>CONCATENATE(L49,"+",M49," = ",N49," kNm")</f>
        <v>401+55.9 = 456.9 kNm</v>
      </c>
      <c r="J49" s="10"/>
      <c r="K49" t="s">
        <v>71</v>
      </c>
      <c r="L49" s="31">
        <f>AC47</f>
        <v>401</v>
      </c>
      <c r="M49" s="31">
        <f>U48</f>
        <v>55.9</v>
      </c>
      <c r="N49" s="2">
        <f>L49+M49</f>
        <v>456.9</v>
      </c>
      <c r="P49" s="29" t="s">
        <v>67</v>
      </c>
      <c r="Q49" t="str">
        <f>CONCATENATE(R49," / ",S49," = ",T49,+U49)</f>
        <v>456.9 / 401 = 1.14(Stress increase rate at column face/hinge)</v>
      </c>
      <c r="R49" s="31">
        <f>N49</f>
        <v>456.9</v>
      </c>
      <c r="S49" s="31">
        <f>AC47</f>
        <v>401</v>
      </c>
      <c r="T49" s="12">
        <f>ROUND(R49/S49,2)</f>
        <v>1.1399999999999999</v>
      </c>
      <c r="U49" t="s">
        <v>279</v>
      </c>
    </row>
    <row r="50" spans="1:34">
      <c r="A50" s="9"/>
      <c r="C50" s="30" t="str">
        <f>IF(M37=1,X50,S50)</f>
        <v>RyZpσy+jMwu=</v>
      </c>
      <c r="D50" t="str">
        <f>IF(M37=1,Z50,T50)</f>
        <v>1.1×1843×235/1000 +36=476.4+36=512.4kNm</v>
      </c>
      <c r="J50" s="10"/>
      <c r="K50">
        <f>J46</f>
        <v>1.1000000000000001</v>
      </c>
      <c r="L50" s="32">
        <f>R34</f>
        <v>1843</v>
      </c>
      <c r="M50">
        <f>O44</f>
        <v>235</v>
      </c>
      <c r="N50" s="11" t="s">
        <v>70</v>
      </c>
      <c r="O50" s="2">
        <f>ROUNDDOWN(K50*R34*M50/1000,1)</f>
        <v>476.4</v>
      </c>
      <c r="P50" t="s">
        <v>19</v>
      </c>
      <c r="Q50" t="str">
        <f>Q37</f>
        <v>jMwu=</v>
      </c>
      <c r="R50">
        <f>R37</f>
        <v>36</v>
      </c>
      <c r="S50" s="29" t="s">
        <v>65</v>
      </c>
      <c r="T50" t="str">
        <f>CONCATENATE(K50,"×",L50,"×",M50,N50,O50,P50)</f>
        <v>1.1×1843×235/1000 = 476.4kNm</v>
      </c>
      <c r="X50" t="s">
        <v>78</v>
      </c>
      <c r="Z50" t="str">
        <f>CONCATENATE(K50,"×",L50,"×",M50,,"/1000 +",R50,"=",O50,"+",R50,"=",O50+R50,"kNm")</f>
        <v>1.1×1843×235/1000 +36=476.4+36=512.4kNm</v>
      </c>
    </row>
    <row r="51" spans="1:34">
      <c r="A51" s="6"/>
      <c r="B51" s="28"/>
      <c r="C51" s="54" t="s">
        <v>69</v>
      </c>
      <c r="D51" s="28" t="str">
        <f>CONCATENATE(K51," / ",L51," = ",M51,N51)</f>
        <v>456.9 / 512.4 = 0.9&lt; 1.0 OK</v>
      </c>
      <c r="E51" s="28"/>
      <c r="F51" s="28"/>
      <c r="G51" s="28"/>
      <c r="H51" s="28"/>
      <c r="I51" s="28"/>
      <c r="J51" s="7"/>
      <c r="K51" s="31">
        <f>N49</f>
        <v>456.9</v>
      </c>
      <c r="L51" s="31">
        <f>IF(M37=1,O50+R37,O50)</f>
        <v>512.4</v>
      </c>
      <c r="M51" s="58">
        <f>ROUNDUP(K51/L51,2)</f>
        <v>0.9</v>
      </c>
      <c r="N51" s="1" t="str">
        <f>IF(K51&lt;L51,"&lt; 1.0 OK","&gt; 1.0 Ng")</f>
        <v>&lt; 1.0 OK</v>
      </c>
    </row>
    <row r="52" spans="1:34">
      <c r="A52" s="46" t="s">
        <v>264</v>
      </c>
      <c r="B52" s="50" t="s">
        <v>322</v>
      </c>
      <c r="C52" s="4"/>
      <c r="D52" s="50"/>
      <c r="E52" s="52" t="str">
        <f>IF(N53=1,O52,U52)</f>
        <v>End of beam</v>
      </c>
      <c r="F52" s="4" t="str">
        <f>IF(N53=1,P52,V52)</f>
        <v xml:space="preserve">Lb・H/Af=1650×400/2720=243 &lt; 250 OK </v>
      </c>
      <c r="G52" s="4"/>
      <c r="H52" s="4"/>
      <c r="I52" s="4"/>
      <c r="J52" s="5"/>
      <c r="K52" t="s">
        <v>8</v>
      </c>
      <c r="L52" s="27">
        <f>L46-K47</f>
        <v>6600</v>
      </c>
      <c r="M52" s="1" t="s">
        <v>20</v>
      </c>
      <c r="N52" s="2">
        <f>U33*10</f>
        <v>38.700000000000003</v>
      </c>
      <c r="O52" s="1" t="s">
        <v>368</v>
      </c>
      <c r="P52" s="1" t="str">
        <f>CONCATENATE("λy=",O53,P53,Q53,"+20×",R53,"=",S53,T53)</f>
        <v xml:space="preserve">λy=170.6 &lt; 170+20×1=190 OK </v>
      </c>
      <c r="S52" t="s">
        <v>323</v>
      </c>
      <c r="T52" s="27">
        <f>L52/4</f>
        <v>1650</v>
      </c>
      <c r="U52" s="1" t="s">
        <v>324</v>
      </c>
      <c r="V52" t="str">
        <f>CONCATENATE("Lb・H/Af=",Z52,"×",AA52,"/",AB52,"=",AC52,AD52,AE52,AF52)</f>
        <v xml:space="preserve">Lb・H/Af=1650×400/2720=243 &lt; 250 OK </v>
      </c>
      <c r="Z52">
        <f>T52</f>
        <v>1650</v>
      </c>
      <c r="AA52">
        <f>L33</f>
        <v>400</v>
      </c>
      <c r="AB52">
        <f>ROUND(M33*O33,0)</f>
        <v>2720</v>
      </c>
      <c r="AC52">
        <f>ROUNDUP(Z52*AA52/AB52,0)</f>
        <v>243</v>
      </c>
      <c r="AD52" t="str">
        <f>IF(AC52&gt;AE52," &gt; "," &lt; ")</f>
        <v xml:space="preserve"> &lt; </v>
      </c>
      <c r="AE52">
        <f>IF(L44=1,250,200)</f>
        <v>250</v>
      </c>
      <c r="AF52" t="str">
        <f>IF(AC52&gt;AE52," NG "," OK ")</f>
        <v xml:space="preserve"> OK </v>
      </c>
    </row>
    <row r="53" spans="1:34">
      <c r="A53" s="6"/>
      <c r="B53" s="45" t="str">
        <f>CONCATENATE(K52,L52,"mm,  ",M52,N52,"mm,  ",K53,L53)</f>
        <v>L=6600mm,  iy=38.7mm,  n=1</v>
      </c>
      <c r="C53" s="28"/>
      <c r="D53" s="28"/>
      <c r="E53" s="28"/>
      <c r="F53" s="28" t="str">
        <f>IF(N53=1,"",V53)</f>
        <v xml:space="preserve">Lb/iy=1650/38.7=42.7 &lt; 65 OK </v>
      </c>
      <c r="G53" s="28"/>
      <c r="H53" s="28"/>
      <c r="I53" s="28"/>
      <c r="J53" s="7"/>
      <c r="K53" s="1" t="s">
        <v>66</v>
      </c>
      <c r="L53" s="27">
        <v>1</v>
      </c>
      <c r="M53" s="35" t="s">
        <v>325</v>
      </c>
      <c r="N53" s="27">
        <v>0</v>
      </c>
      <c r="O53">
        <f>ROUNDUP(L52/N52,1)</f>
        <v>170.6</v>
      </c>
      <c r="P53" t="str">
        <f>IF(O53&gt;S53," &gt; "," &lt; ")</f>
        <v xml:space="preserve"> &lt; </v>
      </c>
      <c r="Q53">
        <f>IF(L44=1,170,130)</f>
        <v>170</v>
      </c>
      <c r="R53">
        <f>L53</f>
        <v>1</v>
      </c>
      <c r="S53">
        <f>Q53+20*R53</f>
        <v>190</v>
      </c>
      <c r="T53" t="str">
        <f>IF(O53&gt;S53," NG "," OK ")</f>
        <v xml:space="preserve"> OK </v>
      </c>
      <c r="U53" s="1"/>
      <c r="V53" s="1" t="str">
        <f>CONCATENATE("Lb/iy=",Z53,"/",AA53,"=",AB53,AC53,AD53,AE53)</f>
        <v xml:space="preserve">Lb/iy=1650/38.7=42.7 &lt; 65 OK </v>
      </c>
      <c r="Z53">
        <f>T52</f>
        <v>1650</v>
      </c>
      <c r="AA53" s="31">
        <f>N52</f>
        <v>38.700000000000003</v>
      </c>
      <c r="AB53">
        <f>ROUNDUP(Z53/AA53,1)</f>
        <v>42.7</v>
      </c>
      <c r="AC53" t="str">
        <f>IF(AB53&gt;AD53," &gt; "," &lt; ")</f>
        <v xml:space="preserve"> &lt; </v>
      </c>
      <c r="AD53">
        <f>IF(L44=1,65,50)</f>
        <v>65</v>
      </c>
      <c r="AE53" t="str">
        <f>IF(AB53&gt;AD53," NG "," OK ")</f>
        <v xml:space="preserve"> OK </v>
      </c>
    </row>
    <row r="54" spans="1:34">
      <c r="A54" s="43" t="str">
        <f>IF(AND(M37=1,M54=1),"・","")</f>
        <v>・</v>
      </c>
      <c r="B54" s="1" t="str">
        <f>IF(AND(M37=1,M54=1),"Check web bolts strength","")</f>
        <v>Check web bolts strength</v>
      </c>
      <c r="D54" s="4"/>
      <c r="E54" s="4"/>
      <c r="F54" s="4"/>
      <c r="G54" s="4"/>
      <c r="H54" s="4"/>
      <c r="I54" s="4"/>
      <c r="J54" s="5"/>
      <c r="K54" t="s">
        <v>326</v>
      </c>
      <c r="M54" s="27">
        <v>1</v>
      </c>
      <c r="N54" t="s">
        <v>327</v>
      </c>
    </row>
    <row r="55" spans="1:34">
      <c r="A55" s="9"/>
      <c r="B55" s="1" t="str">
        <f>IF(AND(M37=1,M54=1),CONCATENATE(K55,"-M",L55,", Ab=",M55,", ",N55,", σu=",O55,"N/mm2, ",P55,Q55,R55,U55),"")</f>
        <v>4-M20, Ab=314, F10T, σu=1000N/mm2, qbu=188.4kN   Bolt bending center distance y=180</v>
      </c>
      <c r="J55" s="10"/>
      <c r="K55" s="27">
        <v>4</v>
      </c>
      <c r="L55" s="100">
        <v>20</v>
      </c>
      <c r="M55">
        <f>ROUND(L55^2/4*PI(),0)</f>
        <v>314</v>
      </c>
      <c r="N55" s="27" t="s">
        <v>88</v>
      </c>
      <c r="O55" s="27">
        <v>1000</v>
      </c>
      <c r="P55" t="s">
        <v>87</v>
      </c>
      <c r="Q55">
        <f>ROUND(0.6*M55*O55/1000,1)</f>
        <v>188.4</v>
      </c>
      <c r="R55" s="1" t="s">
        <v>292</v>
      </c>
      <c r="U55" s="96">
        <f>V56-2*40-(M57-1)*60</f>
        <v>180</v>
      </c>
    </row>
    <row r="56" spans="1:34">
      <c r="A56" s="9"/>
      <c r="B56" t="str">
        <f>IF(AND(M37=1,M54=1),IF(K56=0,Y57,IF(K56=1,Y58,Y59)),"")</f>
        <v xml:space="preserve">Shear strength: Bolt 2 +weld=Qu=Qu,b+Qu,w=376.8+0=376.8 &gt; Vp=174.6 OK </v>
      </c>
      <c r="D56" s="1"/>
      <c r="J56" s="10"/>
      <c r="K56">
        <f>IF(N56=0,1,IF(X56=0,0,2))</f>
        <v>2</v>
      </c>
      <c r="M56" s="30" t="s">
        <v>372</v>
      </c>
      <c r="N56" s="27">
        <f>K55-2*M57</f>
        <v>2</v>
      </c>
      <c r="O56">
        <f>Q55</f>
        <v>188.4</v>
      </c>
      <c r="P56">
        <f>N56*O56</f>
        <v>376.8</v>
      </c>
      <c r="Q56" t="str">
        <f>IF(P56&gt;R56," &gt; Vp="," &lt; Vp=")</f>
        <v xml:space="preserve"> &gt; Vp=</v>
      </c>
      <c r="R56" s="31">
        <f>P48</f>
        <v>174.6</v>
      </c>
      <c r="S56" t="str">
        <f>IF(P56&gt;R56," OK "," NG ")</f>
        <v xml:space="preserve"> OK </v>
      </c>
      <c r="U56" s="30" t="s">
        <v>373</v>
      </c>
      <c r="V56" s="120">
        <f>S36</f>
        <v>260</v>
      </c>
      <c r="W56" s="121">
        <f>N58</f>
        <v>80</v>
      </c>
      <c r="X56" s="122">
        <f>(V56-2*W56)*1</f>
        <v>100</v>
      </c>
      <c r="Y56">
        <f>S35</f>
        <v>0</v>
      </c>
      <c r="Z56">
        <f>ROUNDDOWN(0.7*L59*X56*Y56/1732,1)</f>
        <v>0</v>
      </c>
      <c r="AA56" t="str">
        <f>IF(Z56&gt;AB56," &gt; Vp="," &gt; Vp=")</f>
        <v xml:space="preserve"> &gt; Vp=</v>
      </c>
      <c r="AB56" s="31">
        <f>P48</f>
        <v>174.6</v>
      </c>
      <c r="AC56" t="str">
        <f>IF(Z56&gt;AB56," OK "," NG ")</f>
        <v xml:space="preserve"> NG </v>
      </c>
      <c r="AD56" t="s">
        <v>371</v>
      </c>
      <c r="AE56">
        <f>P56+Z56</f>
        <v>376.8</v>
      </c>
      <c r="AF56" t="str">
        <f>IF(AE56&gt;AG56," &gt; Vp="," &gt; Vp=")</f>
        <v xml:space="preserve"> &gt; Vp=</v>
      </c>
      <c r="AG56" s="31">
        <f>R48</f>
        <v>174.6</v>
      </c>
      <c r="AH56" t="str">
        <f>IF(AE56&gt;AG56," OK "," NG ")</f>
        <v xml:space="preserve"> OK </v>
      </c>
    </row>
    <row r="57" spans="1:34">
      <c r="A57" s="9"/>
      <c r="B57" t="str">
        <f>IF(AND(M37=1,M54=1),CONCATENATE(L57,M57,N57,M57,"×",P57,"×",Q57,"/1000=",R57,S57,T57,U57,V57),"")</f>
        <v xml:space="preserve">Bending: considering 1bolt at the edge, Mu=1×188.4×180/1000=33.9 &gt; jMwu=36kNm NG </v>
      </c>
      <c r="D57" s="1"/>
      <c r="J57" s="10"/>
      <c r="L57" s="30" t="s">
        <v>374</v>
      </c>
      <c r="M57" s="27">
        <v>1</v>
      </c>
      <c r="N57" t="str">
        <f>IF(M57=1,"bolt at the edge, Mu=", "bolts at the edge, Mu=")</f>
        <v>bolt at the edge, Mu=</v>
      </c>
      <c r="P57">
        <f>Q55</f>
        <v>188.4</v>
      </c>
      <c r="Q57">
        <f>U55</f>
        <v>180</v>
      </c>
      <c r="R57">
        <f>ROUND(M57*P57*Q57/1000,1)</f>
        <v>33.9</v>
      </c>
      <c r="S57" t="str">
        <f>IF(R57&gt;U57," &gt; "," &gt; ")</f>
        <v xml:space="preserve"> &gt; </v>
      </c>
      <c r="T57" t="s">
        <v>77</v>
      </c>
      <c r="U57" s="31">
        <f>R37</f>
        <v>36</v>
      </c>
      <c r="V57" t="str">
        <f>IF(R57&gt;U57,"kNm OK ","kNm NG ")</f>
        <v xml:space="preserve">kNm NG </v>
      </c>
      <c r="Y57" t="str">
        <f>CONCATENATE("Bolt shear strength: considering the ",N56," in the center,  Qu,b=",O56,"×",N56,"=",P56,Q56,R56,"kN",S56)</f>
        <v xml:space="preserve">Bolt shear strength: considering the 2 in the center,  Qu,b=188.4×2=376.8 &gt; Vp=174.6kN OK </v>
      </c>
    </row>
    <row r="58" spans="1:34">
      <c r="A58" s="9"/>
      <c r="B58" t="str">
        <f>IF(OR(M54=2,R57&gt;U57),"",IF(M37=1,CONCATENATE(K58,M58,N58,O58,P58,Q58,R58,S58,T58,U58,W58,X58),""))</f>
        <v>Reinforcement welding,vL=80mm, hL=60mm, s=9mm, Le=104mm, Weld distance jb2=180mm</v>
      </c>
      <c r="D58" s="1"/>
      <c r="J58" s="10"/>
      <c r="K58" t="s">
        <v>296</v>
      </c>
      <c r="M58" t="s">
        <v>140</v>
      </c>
      <c r="N58" s="27">
        <v>80</v>
      </c>
      <c r="O58" t="s">
        <v>141</v>
      </c>
      <c r="P58" s="27">
        <v>60</v>
      </c>
      <c r="Q58" s="31" t="s">
        <v>91</v>
      </c>
      <c r="R58" s="27">
        <f>T37</f>
        <v>9</v>
      </c>
      <c r="S58" t="s">
        <v>92</v>
      </c>
      <c r="T58" s="27">
        <f>N58+P58-4*R58</f>
        <v>104</v>
      </c>
      <c r="U58" s="1" t="s">
        <v>295</v>
      </c>
      <c r="W58" s="27">
        <f>S36-N58</f>
        <v>180</v>
      </c>
      <c r="X58" t="s">
        <v>10</v>
      </c>
      <c r="Y58" t="str">
        <f>CONCATENATE("Welding shear strength: Qu,w=0.7×",L59,"×(",V56,"-2×",W56,")×",Y56,"/1732=",Z56,AA56,AB56,"kN",AC56)</f>
        <v xml:space="preserve">Welding shear strength: Qu,w=0.7×9×(260-2×80)×0/1732=0 &gt; Vp=174.6kN NG </v>
      </c>
    </row>
    <row r="59" spans="1:34">
      <c r="A59" s="9"/>
      <c r="B59" t="str">
        <f>IF(OR(M54=2,R57&gt;U57),"",IF(M37=1,CONCATENATE(K59,L59,"×",M59,"×",N59,O59,P59,Q59),""))</f>
        <v>Q'=0.7×9×104×400/(√3×1000)=151kN</v>
      </c>
      <c r="D59" s="1"/>
      <c r="J59" s="10"/>
      <c r="K59" s="1" t="s">
        <v>89</v>
      </c>
      <c r="L59" s="1">
        <f>R58</f>
        <v>9</v>
      </c>
      <c r="M59">
        <f>T58</f>
        <v>104</v>
      </c>
      <c r="N59" s="27">
        <f>IF(L44=1,400,490)</f>
        <v>400</v>
      </c>
      <c r="O59" s="11" t="s">
        <v>137</v>
      </c>
      <c r="P59">
        <f>ROUNDDOWN(0.7*L59*M59*N59/1732,0)</f>
        <v>151</v>
      </c>
      <c r="Q59" t="s">
        <v>17</v>
      </c>
      <c r="Y59" t="str">
        <f>CONCATENATE("Shear strength: Bolt ",N56," +weld=","Qu=Qu,b+Qu,w=",P56,"+",Z56,"=",P56+Z56,AF56,R48,AH56)</f>
        <v xml:space="preserve">Shear strength: Bolt 2 +weld=Qu=Qu,b+Qu,w=376.8+0=376.8 &gt; Vp=174.6 OK </v>
      </c>
    </row>
    <row r="60" spans="1:34">
      <c r="A60" s="6"/>
      <c r="B60" s="28" t="str">
        <f>IF(OR(M54=2,R57&gt;U57),"",IF(M37=1,CONCATENATE(K60,L60,"+",M60,"×",O60,"/1000=",L60,"+",P60,"=",Q60,R60,S60,T60),""))</f>
        <v xml:space="preserve">M'=33.9+151×180/1000=33.9+27.2=61.1 &gt; 36kNm  OK </v>
      </c>
      <c r="C60" s="28"/>
      <c r="D60" s="45"/>
      <c r="E60" s="28"/>
      <c r="F60" s="28"/>
      <c r="G60" s="28"/>
      <c r="H60" s="28"/>
      <c r="I60" s="28"/>
      <c r="J60" s="7"/>
      <c r="K60" t="s">
        <v>90</v>
      </c>
      <c r="L60" s="31">
        <f>R57</f>
        <v>33.9</v>
      </c>
      <c r="M60" s="31">
        <f>P59</f>
        <v>151</v>
      </c>
      <c r="N60" s="29" t="s">
        <v>297</v>
      </c>
      <c r="O60" s="1">
        <f>W58</f>
        <v>180</v>
      </c>
      <c r="P60">
        <f>ROUND(M60*O60/1000,1)</f>
        <v>27.2</v>
      </c>
      <c r="Q60" s="39">
        <f>L60+P60</f>
        <v>61.099999999999994</v>
      </c>
      <c r="R60" t="str">
        <f>IF(Q60&gt;T60," &gt; "," &gt; ")</f>
        <v xml:space="preserve"> &gt; </v>
      </c>
      <c r="S60" s="2">
        <f>U57</f>
        <v>36</v>
      </c>
      <c r="T60" t="str">
        <f>IF(Q60&gt;S60,"kNm  OK ","kNm  NG ")</f>
        <v xml:space="preserve">kNm  OK </v>
      </c>
    </row>
  </sheetData>
  <phoneticPr fontId="3"/>
  <dataValidations disablePrompts="1" count="1">
    <dataValidation type="list" allowBlank="1" showInputMessage="1" showErrorMessage="1" sqref="M38" xr:uid="{67C88B80-2541-4349-8BE8-40945AFCC0B6}">
      <formula1>"0,1,2"</formula1>
    </dataValidation>
  </dataValidations>
  <pageMargins left="0.78740157480314965" right="0.59055118110236227" top="0.78740157480314965" bottom="0.59055118110236227" header="0.51181102362204722" footer="0.51181102362204722"/>
  <pageSetup paperSize="9" orientation="portrait" horizontalDpi="4294967293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05C45-2141-4646-AE70-5CC341472F9D}">
  <sheetPr>
    <tabColor rgb="FFFFC000"/>
  </sheetPr>
  <dimension ref="A1:AF60"/>
  <sheetViews>
    <sheetView view="pageBreakPreview" zoomScaleNormal="100" zoomScaleSheetLayoutView="100" workbookViewId="0">
      <selection activeCell="K1" sqref="K1"/>
    </sheetView>
  </sheetViews>
  <sheetFormatPr defaultRowHeight="13.5"/>
  <cols>
    <col min="1" max="1" width="6.375" customWidth="1"/>
  </cols>
  <sheetData>
    <row r="1" spans="1:8">
      <c r="A1" s="57" t="s">
        <v>249</v>
      </c>
    </row>
    <row r="9" spans="1:8">
      <c r="H9" t="s">
        <v>301</v>
      </c>
    </row>
    <row r="16" spans="1:8">
      <c r="C16" t="s">
        <v>300</v>
      </c>
    </row>
    <row r="18" spans="1:25">
      <c r="H18" t="s">
        <v>302</v>
      </c>
    </row>
    <row r="19" spans="1:25">
      <c r="E19" s="30" t="s">
        <v>139</v>
      </c>
      <c r="F19" t="s">
        <v>253</v>
      </c>
    </row>
    <row r="20" spans="1:25">
      <c r="F20" t="s">
        <v>254</v>
      </c>
    </row>
    <row r="21" spans="1:25">
      <c r="F21" t="s">
        <v>255</v>
      </c>
    </row>
    <row r="22" spans="1:25">
      <c r="F22" t="s">
        <v>256</v>
      </c>
    </row>
    <row r="23" spans="1:25">
      <c r="E23" s="30" t="s">
        <v>139</v>
      </c>
      <c r="F23" t="s">
        <v>257</v>
      </c>
    </row>
    <row r="24" spans="1:25">
      <c r="F24" t="s">
        <v>258</v>
      </c>
    </row>
    <row r="25" spans="1:25">
      <c r="F25" t="s">
        <v>259</v>
      </c>
    </row>
    <row r="26" spans="1:25">
      <c r="F26" t="s">
        <v>375</v>
      </c>
    </row>
    <row r="27" spans="1:25">
      <c r="F27" t="s">
        <v>369</v>
      </c>
    </row>
    <row r="28" spans="1:25">
      <c r="F28" t="s">
        <v>260</v>
      </c>
    </row>
    <row r="29" spans="1:25">
      <c r="T29" s="111"/>
    </row>
    <row r="30" spans="1:25">
      <c r="C30" t="s">
        <v>261</v>
      </c>
    </row>
    <row r="31" spans="1:25">
      <c r="A31" t="str">
        <f>IF(K31="","",K31)</f>
        <v>ERBS section check</v>
      </c>
      <c r="K31" s="27" t="s">
        <v>304</v>
      </c>
      <c r="R31" s="35"/>
      <c r="S31" s="35"/>
    </row>
    <row r="32" spans="1:25">
      <c r="A32" s="3" t="s">
        <v>263</v>
      </c>
      <c r="B32" s="4"/>
      <c r="C32" s="97"/>
      <c r="D32" s="4"/>
      <c r="E32" s="5"/>
      <c r="F32" s="8" t="str">
        <f>CONCATENATE("Position: ",N32,O32,P32,Q32,R32,"-",S32,T32,"  ",U32)</f>
        <v>Position: RFL Level,  2axis,　A-B  RG1y</v>
      </c>
      <c r="G32" s="8"/>
      <c r="H32" s="8"/>
      <c r="I32" s="8"/>
      <c r="J32" s="61"/>
      <c r="K32" s="34" t="s">
        <v>131</v>
      </c>
      <c r="L32" t="s">
        <v>147</v>
      </c>
      <c r="M32" s="27">
        <v>10</v>
      </c>
      <c r="N32" s="27" t="str">
        <f>INDEX(str!A:U,MATCH(M32,str!A:A,0),2)</f>
        <v>RFL</v>
      </c>
      <c r="O32" t="s">
        <v>267</v>
      </c>
      <c r="P32" s="27">
        <f>INDEX(str!A:U,MATCH(M32,str!A:A,0),3)</f>
        <v>2</v>
      </c>
      <c r="Q32" t="s">
        <v>266</v>
      </c>
      <c r="R32" s="27" t="str">
        <f>INDEX(str!A:U,MATCH(M32,str!A:A,0),4)</f>
        <v>A</v>
      </c>
      <c r="S32" s="27" t="str">
        <f>INDEX(str!A:U,MATCH(M32,str!A:A,0),5)</f>
        <v>B</v>
      </c>
      <c r="U32" s="27" t="str">
        <f>INDEX(str!A:U,MATCH(M32,str!A:A,0),6)</f>
        <v>RG1y</v>
      </c>
      <c r="V32" s="27"/>
      <c r="W32" s="27"/>
      <c r="X32" s="27"/>
      <c r="Y32" s="56"/>
    </row>
    <row r="33" spans="1:29">
      <c r="A33" s="43" t="s">
        <v>264</v>
      </c>
      <c r="B33" t="str">
        <f>CONCATENATE(K33,L33,"×",M33,"×",N33,"×",O33,"×r",P33,") Zpx=",R33,",A=",S33,", Iy=",T33,",iy=",U33)</f>
        <v>Beam: reduced section H-400×170×9×16×r0) Zpx=1349,A=87.5, Iy=1312,iy=3.87</v>
      </c>
      <c r="F33" s="4"/>
      <c r="G33" s="4"/>
      <c r="H33" s="4"/>
      <c r="I33" s="4"/>
      <c r="J33" s="5"/>
      <c r="K33" t="s">
        <v>308</v>
      </c>
      <c r="L33" s="66">
        <f>IF(M40=0,M39,M40)</f>
        <v>400</v>
      </c>
      <c r="M33" s="67">
        <f>IF(N40=0,N39,N40)</f>
        <v>170</v>
      </c>
      <c r="N33" s="74">
        <v>9</v>
      </c>
      <c r="O33" s="75">
        <v>16</v>
      </c>
      <c r="P33" s="76">
        <v>0</v>
      </c>
      <c r="Q33" s="35"/>
      <c r="R33" s="65">
        <f>ROUND(1/4*(M33*L33^2-M33*(L33-2*O33)^2+N33*(L33-2*O33)^2)/1000+4*0.2146*P33^2*(L33/2-O33-0.2234*P33)/1000,0)</f>
        <v>1349</v>
      </c>
      <c r="S33" s="69">
        <f>ROUND((L33*M33-(L33-2*O33)*(M33-N33)+4*(P33^2-PI()*P33^2/4))/100,1)</f>
        <v>87.5</v>
      </c>
      <c r="T33" s="70">
        <f>ROUND(1/12*(2*O33*M33^3+(L33-2*O33)*N33^3)/10000+(4*0.2146*P33^2*(N33/2+0.2234*P33)^2+4*0.0075*P33^4)/10000,0)</f>
        <v>1312</v>
      </c>
      <c r="U33" s="71">
        <f>ROUND(SQRT(T33/S33),2)</f>
        <v>3.87</v>
      </c>
    </row>
    <row r="34" spans="1:29">
      <c r="A34" s="43" t="s">
        <v>264</v>
      </c>
      <c r="B34" t="str">
        <f>CONCATENATE(K34,L34,"×",M34,"×",N34,"×",O34,"×r",P34,") Zpx=",R34)</f>
        <v>Beam: column face H-400×300×0×16×r0) Zpx=1843</v>
      </c>
      <c r="J34" s="10"/>
      <c r="K34" t="s">
        <v>364</v>
      </c>
      <c r="L34" s="66">
        <f>L33</f>
        <v>400</v>
      </c>
      <c r="M34" s="67">
        <f>C39</f>
        <v>300</v>
      </c>
      <c r="N34" s="74">
        <v>0</v>
      </c>
      <c r="O34" s="68">
        <f>O33</f>
        <v>16</v>
      </c>
      <c r="P34" s="76">
        <v>0</v>
      </c>
      <c r="Q34" s="35"/>
      <c r="R34" s="65">
        <f>ROUND(1/4*(M34*L34^2-M34*(L34-2*O34)^2+N34*(L34-2*O34)^2)/1000+4*0.2146*P34^2*(L34/2-O34-0.2234*P34)/1000,0)</f>
        <v>1843</v>
      </c>
    </row>
    <row r="35" spans="1:29">
      <c r="A35" s="43" t="s">
        <v>264</v>
      </c>
      <c r="B35" t="str">
        <f>CONCATENATE(K35,L35,"×",M35,T35)</f>
        <v>column section φ-406.4×16(STK400)</v>
      </c>
      <c r="F35" t="str">
        <f>IF(M37=1,CONCATENATE("  ",L36,M36,", ",N36,O36,", ",P36,Q36,", ",R36,S36),"")</f>
        <v/>
      </c>
      <c r="J35" s="10"/>
      <c r="K35" s="35" t="s">
        <v>367</v>
      </c>
      <c r="L35" s="72">
        <v>406.4</v>
      </c>
      <c r="M35" s="73">
        <v>16</v>
      </c>
      <c r="N35" s="30" t="s">
        <v>75</v>
      </c>
      <c r="O35" s="27">
        <v>3</v>
      </c>
      <c r="P35" s="11" t="s">
        <v>115</v>
      </c>
      <c r="S35">
        <f>IF(O35=1,295,IF(O35=2,325,W35))</f>
        <v>235</v>
      </c>
      <c r="T35" t="str">
        <f>IF(O35=1," (BCR295)",IF(O35=2," (BCP325)",V35))</f>
        <v>(STK400)</v>
      </c>
      <c r="U35" s="30" t="s">
        <v>116</v>
      </c>
      <c r="V35" s="27" t="s">
        <v>146</v>
      </c>
      <c r="W35" s="27">
        <v>235</v>
      </c>
    </row>
    <row r="36" spans="1:29">
      <c r="A36" s="6"/>
      <c r="B36" s="28" t="str">
        <f>CONCATENATE(" Internodal distance L=",J45)</f>
        <v xml:space="preserve"> Internodal distance L=7000 mm</v>
      </c>
      <c r="C36" s="28"/>
      <c r="D36" s="28"/>
      <c r="E36" s="28"/>
      <c r="F36" s="28" t="str">
        <f>IF(M37=1,CONCATENATE("  tg=",T37,"mm ",O37,P37,", ",Q37,R37,"kNm"),"")</f>
        <v/>
      </c>
      <c r="G36" s="28"/>
      <c r="H36" s="28"/>
      <c r="I36" s="28"/>
      <c r="J36" s="7"/>
      <c r="L36" s="30" t="s">
        <v>79</v>
      </c>
      <c r="M36" s="27">
        <f>L34-2*O34</f>
        <v>368</v>
      </c>
      <c r="N36" s="30" t="s">
        <v>73</v>
      </c>
      <c r="O36" s="27">
        <f>L35-M35</f>
        <v>390.4</v>
      </c>
      <c r="P36" s="30" t="s">
        <v>74</v>
      </c>
      <c r="Q36">
        <f>MIN(1,ROUND(4*M35/M36*SQRT((O36*S35)/(T37*O44)),3))</f>
        <v>1</v>
      </c>
      <c r="R36" s="35" t="s">
        <v>114</v>
      </c>
      <c r="S36" s="27">
        <f>(4-1)*60+2*40</f>
        <v>260</v>
      </c>
    </row>
    <row r="37" spans="1:29">
      <c r="A37" s="46" t="s">
        <v>264</v>
      </c>
      <c r="B37" s="4" t="str">
        <f>CONCATENATE("RBS shape",IF(M38=0,"",K38))</f>
        <v>RBS shape</v>
      </c>
      <c r="C37" s="4"/>
      <c r="D37" s="4"/>
      <c r="E37" s="4"/>
      <c r="F37" s="4"/>
      <c r="G37" s="4"/>
      <c r="H37" s="4"/>
      <c r="I37" s="4"/>
      <c r="J37" s="115" t="str">
        <f>IF(V38&lt;5,"[スパン/梁成]&lt;5 : チェック","")</f>
        <v/>
      </c>
      <c r="K37" t="s">
        <v>280</v>
      </c>
      <c r="L37" s="35"/>
      <c r="M37" s="27">
        <v>0</v>
      </c>
      <c r="O37" s="30" t="s">
        <v>76</v>
      </c>
      <c r="P37">
        <f>ROUND((S36^2*T37)/4,0)</f>
        <v>152100</v>
      </c>
      <c r="Q37" s="30" t="s">
        <v>77</v>
      </c>
      <c r="R37">
        <f>ROUND(Q36*P37*S35/1000000,0)</f>
        <v>36</v>
      </c>
      <c r="S37" s="30" t="s">
        <v>117</v>
      </c>
      <c r="T37" s="27">
        <f>N33</f>
        <v>9</v>
      </c>
      <c r="U37" s="30"/>
      <c r="V37" s="111"/>
    </row>
    <row r="38" spans="1:29">
      <c r="A38" s="9"/>
      <c r="B38" s="30" t="s">
        <v>5</v>
      </c>
      <c r="C38" s="41">
        <f>IF(M40=0,M39,M40)</f>
        <v>400</v>
      </c>
      <c r="F38" t="str">
        <f>CONCATENATE(L41,M41,"mm",N41,O41,"mm")</f>
        <v xml:space="preserve">  H type  f=2bf/3=200mm   f1=0.2f=40mm</v>
      </c>
      <c r="J38" s="10"/>
      <c r="K38" s="117" t="str">
        <f>IF(M38=0,"both end RBS",IF(M38=1,"  (left pin)","  (right pin)"))</f>
        <v>both end RBS</v>
      </c>
      <c r="L38" s="98"/>
      <c r="M38" s="27">
        <v>0</v>
      </c>
      <c r="N38" s="11" t="s">
        <v>282</v>
      </c>
      <c r="S38" s="30" t="s">
        <v>283</v>
      </c>
      <c r="T38">
        <f>O47-P47</f>
        <v>6593.6</v>
      </c>
      <c r="U38" s="30" t="s">
        <v>196</v>
      </c>
      <c r="V38">
        <f>IF(M38=0,ROUNDUP(T38/L34,2),ROUNDUP(2*T38/L34,2))</f>
        <v>16.490000000000002</v>
      </c>
      <c r="W38" s="56"/>
      <c r="X38" s="30"/>
    </row>
    <row r="39" spans="1:29">
      <c r="A39" s="9"/>
      <c r="B39" s="30" t="s">
        <v>56</v>
      </c>
      <c r="C39" s="41">
        <f>IF(L40=0,L39,L40)</f>
        <v>300</v>
      </c>
      <c r="D39" s="30" t="s">
        <v>4</v>
      </c>
      <c r="E39" s="41">
        <f>IF(O40=0,O39,O40)</f>
        <v>300</v>
      </c>
      <c r="F39" t="str">
        <f>CONCATENATE(L42,M42,"mm",N42,O42,"mm")</f>
        <v xml:space="preserve">  BH type f=1.2bf=360mm   f1=0.1f=36mm</v>
      </c>
      <c r="J39" s="10"/>
      <c r="K39" t="s">
        <v>286</v>
      </c>
      <c r="L39" s="92">
        <f>O39</f>
        <v>300</v>
      </c>
      <c r="M39" s="99">
        <f>INDEX(List!A:S,MATCH(pipe!K32,List!A:A,0),2)</f>
        <v>400</v>
      </c>
      <c r="N39" s="90">
        <f>INDEX(List!A:S,MATCH(pipe!K32,List!A:A,0),3)</f>
        <v>170</v>
      </c>
      <c r="O39" s="79">
        <f>INDEX(List!A:S,MATCH(pipe!K32,List!A:A,0),4)</f>
        <v>300</v>
      </c>
      <c r="P39" s="81">
        <f>INDEX(List!A:S,MATCH(pipe!K32,List!A:A,0),5)</f>
        <v>200</v>
      </c>
      <c r="Q39" s="83">
        <f>INDEX(List!A:S,MATCH(pipe!K32,List!A:A,0),6)</f>
        <v>150</v>
      </c>
      <c r="R39" s="85">
        <f>INDEX(List!A:S,MATCH(pipe!K32,List!A:A,0),7)</f>
        <v>340</v>
      </c>
      <c r="S39" s="87">
        <f>INDEX(List!A:S,MATCH(pipe!K32,List!A:A,0),8)</f>
        <v>65</v>
      </c>
      <c r="T39" s="76">
        <f>INDEX(List!A:S,MATCH(pipe!K32,List!A:A,0),9)</f>
        <v>255</v>
      </c>
      <c r="U39" s="112">
        <f>ROUND(L35*(1-COS(ASIN(C39/L35)))/4,0)</f>
        <v>33</v>
      </c>
      <c r="W39" s="56"/>
    </row>
    <row r="40" spans="1:29">
      <c r="A40" s="9"/>
      <c r="B40" s="30" t="s">
        <v>52</v>
      </c>
      <c r="C40" s="41">
        <f>IF(N40=0,N39,N40)</f>
        <v>170</v>
      </c>
      <c r="D40" s="30" t="s">
        <v>53</v>
      </c>
      <c r="E40" s="41">
        <f>IF(P40=0,P39,P40)</f>
        <v>200</v>
      </c>
      <c r="F40" t="str">
        <f>CONCATENATE("  bf1/bf0=",ROUND(C40/E40,3),IF(ROUND(C40/E40,3)&lt;=0.85," &lt; "," &gt; "),"0.85",IF(ROUND(C40/E40,3)&lt;=0.85,"OK","NG"))</f>
        <v xml:space="preserve">  bf1/bf0=0.85 &lt; 0.85OK</v>
      </c>
      <c r="J40" s="10"/>
      <c r="K40" t="s">
        <v>285</v>
      </c>
      <c r="L40" s="93">
        <v>0</v>
      </c>
      <c r="M40" s="78">
        <v>0</v>
      </c>
      <c r="N40" s="91">
        <v>0</v>
      </c>
      <c r="O40" s="80">
        <v>0</v>
      </c>
      <c r="P40" s="82">
        <v>0</v>
      </c>
      <c r="Q40" s="84">
        <v>0</v>
      </c>
      <c r="R40" s="86">
        <v>0</v>
      </c>
      <c r="S40" s="88">
        <v>0</v>
      </c>
      <c r="T40" s="89">
        <v>0</v>
      </c>
    </row>
    <row r="41" spans="1:29">
      <c r="A41" s="9"/>
      <c r="B41" s="30" t="s">
        <v>6</v>
      </c>
      <c r="C41" s="41">
        <f>IF(Q40=0,Q39,Q40)</f>
        <v>150</v>
      </c>
      <c r="D41" t="s">
        <v>11</v>
      </c>
      <c r="F41" s="30" t="s">
        <v>12</v>
      </c>
      <c r="G41" s="40">
        <f>C41/E39</f>
        <v>0.5</v>
      </c>
      <c r="H41" t="str">
        <f>IF(AND(0.5&lt;=G41,G41&lt;=0.75),"OK","NG")</f>
        <v>OK</v>
      </c>
      <c r="I41" s="113" t="s">
        <v>149</v>
      </c>
      <c r="J41" s="114">
        <f>U39</f>
        <v>33</v>
      </c>
      <c r="L41" t="s">
        <v>270</v>
      </c>
      <c r="M41">
        <f>ROUND(2*E39/3,0)</f>
        <v>200</v>
      </c>
      <c r="N41" t="s">
        <v>54</v>
      </c>
      <c r="O41">
        <f>ROUND(0.2*M41,0)</f>
        <v>40</v>
      </c>
      <c r="W41" s="111"/>
    </row>
    <row r="42" spans="1:29">
      <c r="A42" s="9"/>
      <c r="B42" s="30" t="s">
        <v>1</v>
      </c>
      <c r="C42" s="41">
        <f>IF(R40=0,R39,R40)</f>
        <v>340</v>
      </c>
      <c r="D42" t="s">
        <v>13</v>
      </c>
      <c r="F42" s="30" t="s">
        <v>14</v>
      </c>
      <c r="G42" s="40">
        <f>C42/C38</f>
        <v>0.85</v>
      </c>
      <c r="H42" t="str">
        <f>IF(AND(0.65&lt;=G42,G42&lt;=0.85),"OK","NG")</f>
        <v>OK</v>
      </c>
      <c r="J42" s="10"/>
      <c r="L42" t="s">
        <v>271</v>
      </c>
      <c r="M42">
        <f>ROUND(1.2*E39,0)</f>
        <v>360</v>
      </c>
      <c r="N42" t="s">
        <v>55</v>
      </c>
      <c r="O42">
        <f>ROUND(0.1*M42,0)</f>
        <v>36</v>
      </c>
    </row>
    <row r="43" spans="1:29">
      <c r="A43" s="9"/>
      <c r="B43" s="30" t="s">
        <v>2</v>
      </c>
      <c r="C43" s="41">
        <f>IF(S40=0,S39,S40)</f>
        <v>65</v>
      </c>
      <c r="D43" t="s">
        <v>16</v>
      </c>
      <c r="F43" s="30" t="s">
        <v>15</v>
      </c>
      <c r="G43" s="40">
        <f>C43/E39</f>
        <v>0.21666666666666667</v>
      </c>
      <c r="H43" t="str">
        <f>IF(AND(0.2&lt;=G43,G43&lt;=0.25),"OK","NG")</f>
        <v>OK</v>
      </c>
      <c r="J43" s="10"/>
    </row>
    <row r="44" spans="1:29">
      <c r="A44" s="6"/>
      <c r="B44" s="47" t="s">
        <v>3</v>
      </c>
      <c r="C44" s="48">
        <f>ROUNDUP((4*C43^2+C42^2)/(8*C43),0)</f>
        <v>255</v>
      </c>
      <c r="D44" s="28" t="s">
        <v>96</v>
      </c>
      <c r="E44" s="49"/>
      <c r="F44" s="28" t="str">
        <f>CONCATENATE("b/2c=",ROUND(C42/(2*C43),1),"：flange reducing angle around b/2c=2.9")</f>
        <v>b/2c=2.6：flange reducing angle around b/2c=2.9</v>
      </c>
      <c r="G44" s="28"/>
      <c r="H44" s="28"/>
      <c r="I44" s="28"/>
      <c r="J44" s="7"/>
      <c r="K44" s="35" t="s">
        <v>287</v>
      </c>
      <c r="L44" s="27">
        <v>1</v>
      </c>
      <c r="M44" s="11" t="s">
        <v>68</v>
      </c>
      <c r="O44">
        <f>IF(L44=1,235,325)</f>
        <v>235</v>
      </c>
      <c r="P44" t="str">
        <f>IF(L44=1," (SN400)"," (SN490)")</f>
        <v xml:space="preserve"> (SN400)</v>
      </c>
    </row>
    <row r="45" spans="1:29">
      <c r="A45" s="46" t="s">
        <v>264</v>
      </c>
      <c r="B45" s="50" t="s">
        <v>272</v>
      </c>
      <c r="C45" s="51" t="s">
        <v>18</v>
      </c>
      <c r="D45" s="50" t="str">
        <f>CONCATENATE(O44," N/mm2 ", P44)</f>
        <v>235 N/mm2  (SN400)</v>
      </c>
      <c r="E45" s="4"/>
      <c r="F45" s="4"/>
      <c r="G45" s="52" t="s">
        <v>57</v>
      </c>
      <c r="H45" s="50" t="str">
        <f>CONCATENATE(L45," kN")</f>
        <v>40 kN</v>
      </c>
      <c r="I45" s="51" t="s">
        <v>8</v>
      </c>
      <c r="J45" s="53" t="str">
        <f>CONCATENATE(L46," mm")</f>
        <v>7000 mm</v>
      </c>
      <c r="K45" s="30" t="s">
        <v>118</v>
      </c>
      <c r="L45" s="13">
        <f>IF(Q45=0,MAX(N45:O45),Q45)</f>
        <v>40</v>
      </c>
      <c r="M45" t="s">
        <v>17</v>
      </c>
      <c r="N45" s="94">
        <f>VLOOKUP(M32,str!A:Y,19,FALSE)</f>
        <v>40</v>
      </c>
      <c r="O45" s="95">
        <f>VLOOKUP(M32,str!A:Y,21,FALSE)</f>
        <v>40</v>
      </c>
      <c r="P45" t="s">
        <v>288</v>
      </c>
      <c r="Q45" s="27">
        <v>0</v>
      </c>
    </row>
    <row r="46" spans="1:29">
      <c r="A46" s="9"/>
      <c r="B46" s="29" t="s">
        <v>150</v>
      </c>
      <c r="C46" t="str">
        <f>CONCATENATE(C41,"+",C42,"/2-",U39," = ",O46,"mm")</f>
        <v>150+340/2-33 = 287mm</v>
      </c>
      <c r="G46" s="29" t="s">
        <v>59</v>
      </c>
      <c r="H46" s="33">
        <v>1.1499999999999999</v>
      </c>
      <c r="I46" s="29" t="s">
        <v>60</v>
      </c>
      <c r="J46" s="44">
        <v>1.1000000000000001</v>
      </c>
      <c r="K46" s="30" t="s">
        <v>8</v>
      </c>
      <c r="L46" s="27">
        <f>IF(Q46=0,VLOOKUP(M32,str!A:Y,8,FALSE),Q46)</f>
        <v>7000</v>
      </c>
      <c r="M46" t="s">
        <v>10</v>
      </c>
      <c r="N46" s="30" t="s">
        <v>150</v>
      </c>
      <c r="O46" s="42">
        <f>C41+C42/2-U39</f>
        <v>287</v>
      </c>
      <c r="P46" s="30" t="s">
        <v>289</v>
      </c>
      <c r="Q46" s="27">
        <f>VLOOKUP(M32,str!A:Y,8,FALSE)*0</f>
        <v>0</v>
      </c>
    </row>
    <row r="47" spans="1:29">
      <c r="A47" s="9"/>
      <c r="B47" s="29" t="s">
        <v>7</v>
      </c>
      <c r="C47" t="str">
        <f>CONCATENATE(O47,"-",P47,"-",Q47,"×",R47,"=",S47,"mm")</f>
        <v>7000-406.4-2×287=6019.6mm</v>
      </c>
      <c r="F47" s="29" t="s">
        <v>61</v>
      </c>
      <c r="G47" t="str">
        <f>CONCATENATE(X47,"×",Y47,"×",Z47,"×",AA47,AB47,AC47," kNm")</f>
        <v>1.15×1.1×1349×235/1000 = 401 kNm</v>
      </c>
      <c r="J47" s="10"/>
      <c r="K47" s="27">
        <f>L35</f>
        <v>406.4</v>
      </c>
      <c r="L47" t="s">
        <v>290</v>
      </c>
      <c r="O47">
        <f>L46</f>
        <v>7000</v>
      </c>
      <c r="P47">
        <f>K47</f>
        <v>406.4</v>
      </c>
      <c r="Q47">
        <f>IF(M38=0,2,1)</f>
        <v>2</v>
      </c>
      <c r="R47">
        <f>O46</f>
        <v>287</v>
      </c>
      <c r="S47" s="1">
        <f>O47-P47-Q47*R47</f>
        <v>6019.6</v>
      </c>
      <c r="T47" t="s">
        <v>291</v>
      </c>
      <c r="V47" t="s">
        <v>64</v>
      </c>
      <c r="X47">
        <f>H46</f>
        <v>1.1499999999999999</v>
      </c>
      <c r="Y47">
        <f>J46</f>
        <v>1.1000000000000001</v>
      </c>
      <c r="Z47" s="32">
        <f>ROUND(R33,0)</f>
        <v>1349</v>
      </c>
      <c r="AA47">
        <f>O44</f>
        <v>235</v>
      </c>
      <c r="AB47" t="s">
        <v>70</v>
      </c>
      <c r="AC47" s="2">
        <f>ROUND(H46*J46*Z47*AA47/1000,1)</f>
        <v>401</v>
      </c>
    </row>
    <row r="48" spans="1:29">
      <c r="A48" s="9"/>
      <c r="B48" s="29" t="s">
        <v>9</v>
      </c>
      <c r="C48" t="str">
        <f>CONCATENATE(L48,"x",M48,"/",N48,"+",O48," = ",P48," kN")</f>
        <v>2x401/6.0196+40 = 173.2 kN</v>
      </c>
      <c r="F48" s="29" t="s">
        <v>62</v>
      </c>
      <c r="G48" t="str">
        <f>CONCATENATE(R48,"×",S48,T48,U48,V48)</f>
        <v>173.2×287/1000 = 49.7kNm</v>
      </c>
      <c r="J48" s="10"/>
      <c r="K48" t="s">
        <v>9</v>
      </c>
      <c r="L48">
        <f>IF(M38=0,2,1)</f>
        <v>2</v>
      </c>
      <c r="M48" s="32">
        <f>AC47</f>
        <v>401</v>
      </c>
      <c r="N48">
        <f>S47/1000</f>
        <v>6.0196000000000005</v>
      </c>
      <c r="O48">
        <f>L45</f>
        <v>40</v>
      </c>
      <c r="P48" s="2">
        <f>ROUND((L48*M48)/(N48)+O48,1)</f>
        <v>173.2</v>
      </c>
      <c r="Q48" t="s">
        <v>62</v>
      </c>
      <c r="R48" s="32">
        <f>P48</f>
        <v>173.2</v>
      </c>
      <c r="S48">
        <f>O46</f>
        <v>287</v>
      </c>
      <c r="T48" s="11" t="s">
        <v>70</v>
      </c>
      <c r="U48" s="2">
        <f>ROUND(R48*S48/1000,1)</f>
        <v>49.7</v>
      </c>
      <c r="V48" t="s">
        <v>19</v>
      </c>
    </row>
    <row r="49" spans="1:32">
      <c r="A49" s="9"/>
      <c r="B49" s="29" t="s">
        <v>63</v>
      </c>
      <c r="C49" t="str">
        <f>CONCATENATE(L49,"+",M49," = ",N49," kNm")</f>
        <v>401+49.7 = 450.7 kNm</v>
      </c>
      <c r="J49" s="10"/>
      <c r="K49" t="s">
        <v>71</v>
      </c>
      <c r="L49" s="31">
        <f>AC47</f>
        <v>401</v>
      </c>
      <c r="M49" s="31">
        <f>U48</f>
        <v>49.7</v>
      </c>
      <c r="N49" s="2">
        <f>L49+M49</f>
        <v>450.7</v>
      </c>
      <c r="P49" s="29" t="s">
        <v>67</v>
      </c>
      <c r="Q49" t="str">
        <f>CONCATENATE(R49," / ",S49," = ",T49,+U49)</f>
        <v>450.7 / 401 = 1.12  (柱フェース/ヒンジでの応力増加率)</v>
      </c>
      <c r="R49" s="31">
        <f>N49</f>
        <v>450.7</v>
      </c>
      <c r="S49" s="31">
        <f>AC47</f>
        <v>401</v>
      </c>
      <c r="T49" s="12">
        <f>ROUND(R49/S49,2)</f>
        <v>1.1200000000000001</v>
      </c>
      <c r="U49" t="s">
        <v>72</v>
      </c>
    </row>
    <row r="50" spans="1:32">
      <c r="A50" s="9"/>
      <c r="C50" s="30" t="str">
        <f>IF(M37=1,X50,S50)</f>
        <v>RyZpσy=</v>
      </c>
      <c r="D50" t="str">
        <f>IF(M37=1,Z50,T50)</f>
        <v>1.1×1843×235/1000 = 476.4kNm</v>
      </c>
      <c r="J50" s="10"/>
      <c r="K50">
        <f>J46</f>
        <v>1.1000000000000001</v>
      </c>
      <c r="L50" s="32">
        <f>R34</f>
        <v>1843</v>
      </c>
      <c r="M50">
        <f>O44</f>
        <v>235</v>
      </c>
      <c r="N50" s="11" t="s">
        <v>70</v>
      </c>
      <c r="O50" s="2">
        <f>ROUNDDOWN(K50*R34*M50/1000,1)</f>
        <v>476.4</v>
      </c>
      <c r="P50" t="s">
        <v>19</v>
      </c>
      <c r="Q50" t="str">
        <f>Q37</f>
        <v>jMwu=</v>
      </c>
      <c r="R50">
        <f>R37</f>
        <v>36</v>
      </c>
      <c r="S50" s="29" t="s">
        <v>65</v>
      </c>
      <c r="T50" t="str">
        <f>CONCATENATE(K50,"×",L50,"×",M50,N50,O50,P50)</f>
        <v>1.1×1843×235/1000 = 476.4kNm</v>
      </c>
      <c r="X50" t="s">
        <v>78</v>
      </c>
      <c r="Z50" t="str">
        <f>CONCATENATE(K50,"×",L50,"×",M50,,"/1000 +",R50,"=",O50,"+",R50,"=",O50+R50,"kNm")</f>
        <v>1.1×1843×235/1000 +36=476.4+36=512.4kNm</v>
      </c>
    </row>
    <row r="51" spans="1:32">
      <c r="A51" s="6"/>
      <c r="B51" s="28"/>
      <c r="C51" s="54" t="s">
        <v>69</v>
      </c>
      <c r="D51" s="28" t="str">
        <f>CONCATENATE(K51," / ",L51," = ",M51,N51)</f>
        <v>450.7 / 476.4 = 0.95&lt; 1.0 OK</v>
      </c>
      <c r="E51" s="28"/>
      <c r="F51" s="28"/>
      <c r="G51" s="28"/>
      <c r="H51" s="28"/>
      <c r="I51" s="28"/>
      <c r="J51" s="7"/>
      <c r="K51" s="31">
        <f>N49</f>
        <v>450.7</v>
      </c>
      <c r="L51" s="31">
        <f>IF(M37=1,O50+R37,O50)</f>
        <v>476.4</v>
      </c>
      <c r="M51" s="58">
        <f>ROUNDUP(K51/L51,2)</f>
        <v>0.95</v>
      </c>
      <c r="N51" s="1" t="str">
        <f>IF(K51&lt;L51,"&lt; 1.0 OK","&gt; 1.0 Ng")</f>
        <v>&lt; 1.0 OK</v>
      </c>
    </row>
    <row r="52" spans="1:32">
      <c r="A52" s="46" t="s">
        <v>264</v>
      </c>
      <c r="B52" s="50" t="s">
        <v>273</v>
      </c>
      <c r="C52" s="4"/>
      <c r="D52" s="50"/>
      <c r="E52" s="4" t="str">
        <f>IF(N53=1,O52,U52)</f>
        <v>End of beam</v>
      </c>
      <c r="F52" s="4" t="str">
        <f>IF(N53=1,P52,V52)</f>
        <v xml:space="preserve">Lb・H/Af=1648.4×400/2720=243 &lt; 250 OK </v>
      </c>
      <c r="G52" s="4"/>
      <c r="H52" s="4"/>
      <c r="I52" s="4"/>
      <c r="J52" s="5"/>
      <c r="K52" t="s">
        <v>8</v>
      </c>
      <c r="L52" s="27">
        <f>L46-K47</f>
        <v>6593.6</v>
      </c>
      <c r="M52" s="1" t="s">
        <v>20</v>
      </c>
      <c r="N52" s="2">
        <f>U33*10</f>
        <v>38.700000000000003</v>
      </c>
      <c r="O52" s="1" t="s">
        <v>368</v>
      </c>
      <c r="P52" s="1" t="str">
        <f>CONCATENATE("λy=",O53,P53,Q53,"+20×",R53,"=",S53,T53)</f>
        <v xml:space="preserve">λy=170.4 &lt; 170+20×1=190 OK </v>
      </c>
      <c r="S52" t="s">
        <v>274</v>
      </c>
      <c r="T52" s="27">
        <f>L52/4</f>
        <v>1648.4</v>
      </c>
      <c r="U52" s="1" t="s">
        <v>275</v>
      </c>
      <c r="V52" t="str">
        <f>CONCATENATE("Lb・H/Af=",Z52,"×",AA52,"/",AB52,"=",AC52,AD52,AE52,AF52)</f>
        <v xml:space="preserve">Lb・H/Af=1648.4×400/2720=243 &lt; 250 OK </v>
      </c>
      <c r="Z52">
        <f>T52</f>
        <v>1648.4</v>
      </c>
      <c r="AA52">
        <f>L33</f>
        <v>400</v>
      </c>
      <c r="AB52">
        <f>ROUND(M33*O33,0)</f>
        <v>2720</v>
      </c>
      <c r="AC52">
        <f>ROUNDUP(Z52*AA52/AB52,0)</f>
        <v>243</v>
      </c>
      <c r="AD52" t="str">
        <f>IF(AC52&gt;AE52," &gt; "," &lt; ")</f>
        <v xml:space="preserve"> &lt; </v>
      </c>
      <c r="AE52">
        <f>IF(L44=1,250,200)</f>
        <v>250</v>
      </c>
      <c r="AF52" t="str">
        <f>IF(AC52&gt;AE52," NG "," OK ")</f>
        <v xml:space="preserve"> OK </v>
      </c>
    </row>
    <row r="53" spans="1:32">
      <c r="A53" s="6"/>
      <c r="B53" s="45" t="str">
        <f>CONCATENATE(K52,L52,"mm,  ",M52,N52,"mm,  ",K53,L53)</f>
        <v>L=6593.6mm,  iy=38.7mm,  n=1</v>
      </c>
      <c r="C53" s="28"/>
      <c r="D53" s="28"/>
      <c r="E53" s="28"/>
      <c r="F53" s="28" t="str">
        <f>IF(N53=1,"",V53)</f>
        <v xml:space="preserve">Lb/iy=1648.4/38.7=42.6 &lt; 65 OK </v>
      </c>
      <c r="G53" s="28"/>
      <c r="H53" s="28"/>
      <c r="I53" s="28"/>
      <c r="J53" s="7"/>
      <c r="K53" s="1" t="s">
        <v>66</v>
      </c>
      <c r="L53" s="27">
        <v>1</v>
      </c>
      <c r="M53" s="35" t="s">
        <v>276</v>
      </c>
      <c r="N53" s="27">
        <v>0</v>
      </c>
      <c r="O53">
        <f>ROUNDUP(L52/N52,1)</f>
        <v>170.4</v>
      </c>
      <c r="P53" t="str">
        <f>IF(O53&gt;S53," &gt; "," &lt; ")</f>
        <v xml:space="preserve"> &lt; </v>
      </c>
      <c r="Q53">
        <f>IF(L44=1,170,130)</f>
        <v>170</v>
      </c>
      <c r="R53">
        <f>L53</f>
        <v>1</v>
      </c>
      <c r="S53">
        <f>Q53+20*R53</f>
        <v>190</v>
      </c>
      <c r="T53" t="str">
        <f>IF(O53&gt;S53," NG "," OK ")</f>
        <v xml:space="preserve"> OK </v>
      </c>
      <c r="U53" s="1"/>
      <c r="V53" s="1" t="str">
        <f>CONCATENATE("Lb/iy=",Z53,"/",AA53,"=",AB53,AC53,AD53,AE53)</f>
        <v xml:space="preserve">Lb/iy=1648.4/38.7=42.6 &lt; 65 OK </v>
      </c>
      <c r="Z53">
        <f>T52</f>
        <v>1648.4</v>
      </c>
      <c r="AA53" s="31">
        <f>N52</f>
        <v>38.700000000000003</v>
      </c>
      <c r="AB53">
        <f>ROUNDUP(Z53/AA53,1)</f>
        <v>42.6</v>
      </c>
      <c r="AC53" t="str">
        <f>IF(AB53&gt;AD53," &gt; "," &lt; ")</f>
        <v xml:space="preserve"> &lt; </v>
      </c>
      <c r="AD53">
        <f>IF(L44=1,65,50)</f>
        <v>65</v>
      </c>
      <c r="AE53" t="str">
        <f>IF(AB53&gt;AD53," NG "," OK ")</f>
        <v xml:space="preserve"> OK </v>
      </c>
    </row>
    <row r="54" spans="1:32">
      <c r="A54" s="43" t="str">
        <f>IF(AND(M37=1,M54=1),"-","")</f>
        <v/>
      </c>
      <c r="B54" s="50" t="str">
        <f>IF(AND(M37=1,M54=1),"Lateral stiffening check","")</f>
        <v/>
      </c>
      <c r="D54" s="4"/>
      <c r="E54" s="4"/>
      <c r="F54" s="4"/>
      <c r="G54" s="4"/>
      <c r="H54" s="4"/>
      <c r="I54" s="4"/>
      <c r="J54" s="5"/>
      <c r="K54" t="s">
        <v>278</v>
      </c>
      <c r="M54" s="27">
        <v>1</v>
      </c>
      <c r="N54" t="s">
        <v>277</v>
      </c>
    </row>
    <row r="55" spans="1:32">
      <c r="A55" s="9"/>
      <c r="B55" s="1" t="str">
        <f>IF(AND(M37=1,M54=1),CONCATENATE(K55,"-M",L55,", Ab=",M55,", ",N55,", σu=",O55,"N/mm2, ",P55,Q55,R55,U55),"")</f>
        <v/>
      </c>
      <c r="J55" s="10"/>
      <c r="K55" s="27">
        <v>4</v>
      </c>
      <c r="L55" s="100">
        <v>22</v>
      </c>
      <c r="M55">
        <f>ROUND(L55^2/4*PI(),0)</f>
        <v>380</v>
      </c>
      <c r="N55" s="27" t="s">
        <v>88</v>
      </c>
      <c r="O55" s="27">
        <v>1000</v>
      </c>
      <c r="P55" t="s">
        <v>87</v>
      </c>
      <c r="Q55">
        <f>ROUND(0.6*M55*O55/1000,1)</f>
        <v>228</v>
      </c>
      <c r="R55" s="1" t="s">
        <v>292</v>
      </c>
      <c r="U55" s="96">
        <f>60*(K55-1)</f>
        <v>180</v>
      </c>
    </row>
    <row r="56" spans="1:32">
      <c r="A56" s="9"/>
      <c r="B56" t="str">
        <f>IF(AND(M37=1,M54=1),CONCATENATE(L56,M56,N56," Qu=",O56,"×",M56,"=",P56,"kN",Q56,R56,S56,T56),"")</f>
        <v/>
      </c>
      <c r="D56" s="1"/>
      <c r="J56" s="10"/>
      <c r="L56" s="30" t="s">
        <v>293</v>
      </c>
      <c r="M56" s="27">
        <f>K55-2*M57</f>
        <v>2</v>
      </c>
      <c r="N56" t="str">
        <f>IF(M56=1,"bolt at the center", "bolts at the center")</f>
        <v>bolts at the center</v>
      </c>
      <c r="O56">
        <f>Q55</f>
        <v>228</v>
      </c>
      <c r="P56">
        <f>M56*O56</f>
        <v>456</v>
      </c>
      <c r="Q56" t="str">
        <f>IF(P56&gt;S56," &gt; "," &gt; ")</f>
        <v xml:space="preserve"> &gt; </v>
      </c>
      <c r="R56" t="s">
        <v>9</v>
      </c>
      <c r="S56" s="31">
        <f>P48</f>
        <v>173.2</v>
      </c>
      <c r="T56" t="str">
        <f>IF(P56&gt;S56," OK "," NG ")</f>
        <v xml:space="preserve"> OK </v>
      </c>
    </row>
    <row r="57" spans="1:32">
      <c r="A57" s="9"/>
      <c r="B57" t="str">
        <f>IF(AND(M37=1,M54=1),CONCATENATE(K57,M57,N57,M57,"×",P57,"×",Q57,"/1000=",R57,S57,T57,U57,V57),"")</f>
        <v/>
      </c>
      <c r="D57" s="1"/>
      <c r="J57" s="10"/>
      <c r="L57" s="30" t="s">
        <v>294</v>
      </c>
      <c r="M57" s="27">
        <v>1</v>
      </c>
      <c r="N57" t="str">
        <f>IF(M57=1,"bolt at the edge", "bolts at the edge")</f>
        <v>bolt at the edge</v>
      </c>
      <c r="P57">
        <f>Q55</f>
        <v>228</v>
      </c>
      <c r="Q57">
        <f>U55</f>
        <v>180</v>
      </c>
      <c r="R57">
        <f>ROUND(M57*P57*Q57/1000,1)</f>
        <v>41</v>
      </c>
      <c r="S57" t="str">
        <f>IF(R57&gt;U57," &gt; "," &gt; ")</f>
        <v xml:space="preserve"> &gt; </v>
      </c>
      <c r="T57" t="s">
        <v>77</v>
      </c>
      <c r="U57" s="31">
        <f>R37</f>
        <v>36</v>
      </c>
      <c r="V57" t="str">
        <f>IF(R57&gt;U57,"kNm OK ","kNm NG ")</f>
        <v xml:space="preserve">kNm OK </v>
      </c>
    </row>
    <row r="58" spans="1:32">
      <c r="A58" s="9"/>
      <c r="B58" t="str">
        <f>IF(OR(M54=2,R57&gt;U57),"",IF(M37=1,CONCATENATE(K58,M58,N58,O58,P58,Q58,R58,S58,T58,U58,W58,X58),""))</f>
        <v/>
      </c>
      <c r="D58" s="1"/>
      <c r="J58" s="10"/>
      <c r="K58" t="s">
        <v>296</v>
      </c>
      <c r="M58" t="s">
        <v>140</v>
      </c>
      <c r="N58" s="27">
        <v>80</v>
      </c>
      <c r="O58" t="s">
        <v>141</v>
      </c>
      <c r="P58" s="27">
        <v>60</v>
      </c>
      <c r="Q58" s="31" t="s">
        <v>91</v>
      </c>
      <c r="R58" s="27">
        <f>T37</f>
        <v>9</v>
      </c>
      <c r="S58" t="s">
        <v>92</v>
      </c>
      <c r="T58" s="27">
        <f>N58+P58-4*R58</f>
        <v>104</v>
      </c>
      <c r="U58" s="1" t="s">
        <v>295</v>
      </c>
      <c r="W58" s="27">
        <f>(K55-1)*60+2*40-N58</f>
        <v>180</v>
      </c>
      <c r="X58" t="s">
        <v>10</v>
      </c>
    </row>
    <row r="59" spans="1:32">
      <c r="A59" s="9"/>
      <c r="B59" t="str">
        <f>IF(OR(M54=2,R57&gt;U57),"",IF(M37=1,CONCATENATE(K59,L59,"×",M59,"×",N59,O59,P59,Q59),""))</f>
        <v/>
      </c>
      <c r="D59" s="1"/>
      <c r="J59" s="10"/>
      <c r="K59" s="1" t="s">
        <v>89</v>
      </c>
      <c r="L59" s="1">
        <f>R58</f>
        <v>9</v>
      </c>
      <c r="M59">
        <f>T58</f>
        <v>104</v>
      </c>
      <c r="N59" s="27">
        <f>IF(L44=1,400,490)</f>
        <v>400</v>
      </c>
      <c r="O59" s="11" t="s">
        <v>137</v>
      </c>
      <c r="P59">
        <f>ROUNDDOWN(0.7*L59*M59*N59/1732,0)</f>
        <v>151</v>
      </c>
      <c r="Q59" t="s">
        <v>17</v>
      </c>
    </row>
    <row r="60" spans="1:32">
      <c r="A60" s="6"/>
      <c r="B60" s="28" t="str">
        <f>IF(OR(M54=2,R57&gt;U57),"",IF(M37=1,CONCATENATE(K60,L60,"+",M60,"×",O60,"/1000=",L60,"+",P60,"=",Q60,R60,S60,T60),""))</f>
        <v/>
      </c>
      <c r="C60" s="28"/>
      <c r="D60" s="45"/>
      <c r="E60" s="28"/>
      <c r="F60" s="28"/>
      <c r="G60" s="28"/>
      <c r="H60" s="28"/>
      <c r="I60" s="28"/>
      <c r="J60" s="7"/>
      <c r="K60" t="s">
        <v>90</v>
      </c>
      <c r="L60" s="31">
        <f>R57</f>
        <v>41</v>
      </c>
      <c r="M60" s="31">
        <f>P59</f>
        <v>151</v>
      </c>
      <c r="N60" s="29" t="s">
        <v>297</v>
      </c>
      <c r="O60" s="1">
        <f>W58</f>
        <v>180</v>
      </c>
      <c r="P60">
        <f>ROUND(M60*O60/1000,1)</f>
        <v>27.2</v>
      </c>
      <c r="Q60" s="39">
        <f>L60+P60</f>
        <v>68.2</v>
      </c>
      <c r="R60" t="str">
        <f>IF(Q60&gt;T60," &gt; "," &gt; ")</f>
        <v xml:space="preserve"> &gt; </v>
      </c>
      <c r="S60" s="2">
        <f>U57</f>
        <v>36</v>
      </c>
      <c r="T60" t="str">
        <f>IF(Q60&gt;S60,"kNm  OK ","kNm  NG ")</f>
        <v xml:space="preserve">kNm  OK </v>
      </c>
    </row>
  </sheetData>
  <phoneticPr fontId="3"/>
  <dataValidations count="1">
    <dataValidation type="list" allowBlank="1" showInputMessage="1" showErrorMessage="1" sqref="M38" xr:uid="{E9BA4BAB-D82D-4580-9475-6C388E7D1FF5}">
      <formula1>"0,1,2"</formula1>
    </dataValidation>
  </dataValidations>
  <pageMargins left="0.78740157480314965" right="0.59055118110236227" top="0.78740157480314965" bottom="0.59055118110236227" header="0.51181102362204722" footer="0.51181102362204722"/>
  <pageSetup paperSize="9" orientation="portrait" horizontalDpi="4294967293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59999389629810485"/>
  </sheetPr>
  <dimension ref="A1:V100"/>
  <sheetViews>
    <sheetView workbookViewId="0">
      <selection activeCell="G1" sqref="G1"/>
    </sheetView>
  </sheetViews>
  <sheetFormatPr defaultRowHeight="13.5"/>
  <cols>
    <col min="1" max="7" width="5.125" style="35" customWidth="1"/>
    <col min="8" max="8" width="7.625" style="38" customWidth="1"/>
    <col min="9" max="18" width="4.5" style="35" customWidth="1"/>
    <col min="19" max="19" width="6.875" style="38" customWidth="1"/>
    <col min="20" max="20" width="6.875" style="35" customWidth="1"/>
    <col min="21" max="21" width="6.875" style="38" customWidth="1"/>
    <col min="22" max="25" width="5.75" style="35" customWidth="1"/>
    <col min="26" max="16384" width="9" style="35"/>
  </cols>
  <sheetData>
    <row r="1" spans="1:22" s="36" customFormat="1">
      <c r="A1" s="36">
        <v>1</v>
      </c>
      <c r="B1" s="36" t="s">
        <v>189</v>
      </c>
      <c r="C1" s="1" t="s">
        <v>190</v>
      </c>
      <c r="H1" s="36">
        <v>8</v>
      </c>
      <c r="S1" s="36">
        <v>19</v>
      </c>
      <c r="U1" s="36">
        <v>21</v>
      </c>
    </row>
    <row r="2" spans="1:22" s="36" customFormat="1">
      <c r="A2" s="36">
        <f>A1+1</f>
        <v>2</v>
      </c>
      <c r="B2" s="36" t="s">
        <v>164</v>
      </c>
      <c r="C2" s="36" t="s">
        <v>191</v>
      </c>
      <c r="D2" s="36" t="s">
        <v>167</v>
      </c>
      <c r="E2" s="36" t="s">
        <v>166</v>
      </c>
      <c r="F2" s="36" t="s">
        <v>168</v>
      </c>
      <c r="G2" s="36" t="s">
        <v>169</v>
      </c>
      <c r="H2" s="36" t="s">
        <v>170</v>
      </c>
      <c r="I2" s="1" t="s">
        <v>174</v>
      </c>
      <c r="R2" s="1" t="s">
        <v>182</v>
      </c>
      <c r="T2" s="77"/>
    </row>
    <row r="3" spans="1:22" s="36" customFormat="1">
      <c r="A3" s="36">
        <f t="shared" ref="A3:A66" si="0">A2+1</f>
        <v>3</v>
      </c>
      <c r="H3" s="77" t="s">
        <v>172</v>
      </c>
      <c r="I3" s="36" t="s">
        <v>176</v>
      </c>
      <c r="J3" s="36" t="s">
        <v>178</v>
      </c>
      <c r="K3" s="36" t="s">
        <v>80</v>
      </c>
      <c r="L3" s="37" t="s">
        <v>93</v>
      </c>
      <c r="M3" s="36" t="s">
        <v>184</v>
      </c>
      <c r="N3" s="37" t="s">
        <v>93</v>
      </c>
      <c r="O3" s="36" t="s">
        <v>80</v>
      </c>
      <c r="P3" s="36" t="s">
        <v>178</v>
      </c>
      <c r="Q3" s="36" t="s">
        <v>180</v>
      </c>
      <c r="R3" s="36" t="s">
        <v>176</v>
      </c>
      <c r="S3" s="36" t="s">
        <v>80</v>
      </c>
      <c r="T3" s="36" t="s">
        <v>184</v>
      </c>
      <c r="U3" s="36" t="s">
        <v>80</v>
      </c>
      <c r="V3" s="36" t="s">
        <v>180</v>
      </c>
    </row>
    <row r="4" spans="1:22" s="36" customFormat="1">
      <c r="A4" s="36">
        <f t="shared" si="0"/>
        <v>4</v>
      </c>
      <c r="H4" s="36" t="s">
        <v>81</v>
      </c>
      <c r="I4" s="36" t="s">
        <v>82</v>
      </c>
      <c r="J4" s="36" t="s">
        <v>82</v>
      </c>
      <c r="K4" s="36" t="s">
        <v>82</v>
      </c>
      <c r="L4" s="36" t="s">
        <v>82</v>
      </c>
      <c r="M4" s="36" t="s">
        <v>82</v>
      </c>
      <c r="N4" s="36" t="s">
        <v>82</v>
      </c>
      <c r="O4" s="36" t="s">
        <v>82</v>
      </c>
      <c r="P4" s="36" t="s">
        <v>82</v>
      </c>
      <c r="Q4" s="36" t="s">
        <v>82</v>
      </c>
      <c r="R4" s="36" t="s">
        <v>83</v>
      </c>
      <c r="S4" s="36" t="s">
        <v>83</v>
      </c>
      <c r="T4" s="36" t="s">
        <v>83</v>
      </c>
      <c r="U4" s="36" t="s">
        <v>83</v>
      </c>
      <c r="V4" s="36" t="s">
        <v>83</v>
      </c>
    </row>
    <row r="5" spans="1:22">
      <c r="A5" s="36">
        <f t="shared" si="0"/>
        <v>5</v>
      </c>
      <c r="B5" s="35" t="str">
        <f>out!A5</f>
        <v>RFL</v>
      </c>
      <c r="C5" s="35" t="str">
        <f>out!B5</f>
        <v>A</v>
      </c>
      <c r="D5" s="35">
        <f>out!C5</f>
        <v>1</v>
      </c>
      <c r="E5" s="35">
        <f>out!D5</f>
        <v>2</v>
      </c>
      <c r="F5" s="35" t="str">
        <f>out!E5</f>
        <v>RG1x</v>
      </c>
      <c r="G5" s="35" t="str">
        <f>out!F5</f>
        <v>L</v>
      </c>
      <c r="H5" s="38">
        <f>out!G5</f>
        <v>7000</v>
      </c>
      <c r="I5" s="35">
        <f>out!H5</f>
        <v>43</v>
      </c>
      <c r="J5" s="35">
        <f>out!I5</f>
        <v>0</v>
      </c>
      <c r="K5" s="35">
        <f>out!J5</f>
        <v>39</v>
      </c>
      <c r="L5" s="35">
        <f>out!K5</f>
        <v>0</v>
      </c>
      <c r="M5" s="35">
        <f>out!L5</f>
        <v>-53</v>
      </c>
      <c r="N5" s="35">
        <f>out!M5</f>
        <v>0</v>
      </c>
      <c r="O5" s="35">
        <f>out!N5</f>
        <v>57</v>
      </c>
      <c r="P5" s="35">
        <f>out!O5</f>
        <v>0</v>
      </c>
      <c r="Q5" s="35">
        <f>out!P5</f>
        <v>61</v>
      </c>
      <c r="R5" s="35">
        <f>out!Q5</f>
        <v>66</v>
      </c>
      <c r="S5" s="38">
        <f>out!R5</f>
        <v>66</v>
      </c>
      <c r="T5" s="35">
        <f>out!S5</f>
        <v>0</v>
      </c>
      <c r="U5" s="38">
        <f>out!T5</f>
        <v>72</v>
      </c>
      <c r="V5" s="35">
        <f>out!U5</f>
        <v>72</v>
      </c>
    </row>
    <row r="6" spans="1:22">
      <c r="A6" s="36">
        <f t="shared" si="0"/>
        <v>6</v>
      </c>
      <c r="B6" s="35" t="str">
        <f>out!A6</f>
        <v>RFL</v>
      </c>
      <c r="C6" s="35" t="str">
        <f>out!B6</f>
        <v>A</v>
      </c>
      <c r="D6" s="35">
        <f>out!C6</f>
        <v>2</v>
      </c>
      <c r="E6" s="35">
        <f>out!D6</f>
        <v>3</v>
      </c>
      <c r="F6" s="35" t="str">
        <f>out!E6</f>
        <v>RG1x</v>
      </c>
      <c r="G6" s="35" t="str">
        <f>out!F6</f>
        <v>L</v>
      </c>
      <c r="H6" s="38">
        <f>out!G6</f>
        <v>7000</v>
      </c>
      <c r="I6" s="35">
        <f>out!H6</f>
        <v>61</v>
      </c>
      <c r="J6" s="35">
        <f>out!I6</f>
        <v>0</v>
      </c>
      <c r="K6" s="35">
        <f>out!J6</f>
        <v>57</v>
      </c>
      <c r="L6" s="35">
        <f>out!K6</f>
        <v>0</v>
      </c>
      <c r="M6" s="35">
        <f>out!L6</f>
        <v>-53</v>
      </c>
      <c r="N6" s="35">
        <f>out!M6</f>
        <v>0</v>
      </c>
      <c r="O6" s="35">
        <f>out!N6</f>
        <v>39</v>
      </c>
      <c r="P6" s="35">
        <f>out!O6</f>
        <v>0</v>
      </c>
      <c r="Q6" s="35">
        <f>out!P6</f>
        <v>43</v>
      </c>
      <c r="R6" s="35">
        <f>out!Q6</f>
        <v>72</v>
      </c>
      <c r="S6" s="38">
        <f>out!R6</f>
        <v>72</v>
      </c>
      <c r="T6" s="35">
        <f>out!S6</f>
        <v>0</v>
      </c>
      <c r="U6" s="38">
        <f>out!T6</f>
        <v>66</v>
      </c>
      <c r="V6" s="35">
        <f>out!U6</f>
        <v>66</v>
      </c>
    </row>
    <row r="7" spans="1:22">
      <c r="A7" s="36">
        <f t="shared" si="0"/>
        <v>7</v>
      </c>
      <c r="B7" s="35" t="str">
        <f>out!A7</f>
        <v>RFL</v>
      </c>
      <c r="C7" s="35" t="str">
        <f>out!B7</f>
        <v>B</v>
      </c>
      <c r="D7" s="35">
        <f>out!C7</f>
        <v>1</v>
      </c>
      <c r="E7" s="35">
        <f>out!D7</f>
        <v>2</v>
      </c>
      <c r="F7" s="35" t="str">
        <f>out!E7</f>
        <v>RG1x</v>
      </c>
      <c r="G7" s="35" t="str">
        <f>out!F7</f>
        <v>L</v>
      </c>
      <c r="H7" s="38">
        <f>out!G7</f>
        <v>7000</v>
      </c>
      <c r="I7" s="35">
        <f>out!H7</f>
        <v>43</v>
      </c>
      <c r="J7" s="35">
        <f>out!I7</f>
        <v>0</v>
      </c>
      <c r="K7" s="35">
        <f>out!J7</f>
        <v>39</v>
      </c>
      <c r="L7" s="35">
        <f>out!K7</f>
        <v>0</v>
      </c>
      <c r="M7" s="35">
        <f>out!L7</f>
        <v>-53</v>
      </c>
      <c r="N7" s="35">
        <f>out!M7</f>
        <v>0</v>
      </c>
      <c r="O7" s="35">
        <f>out!N7</f>
        <v>57</v>
      </c>
      <c r="P7" s="35">
        <f>out!O7</f>
        <v>0</v>
      </c>
      <c r="Q7" s="35">
        <f>out!P7</f>
        <v>61</v>
      </c>
      <c r="R7" s="35">
        <f>out!Q7</f>
        <v>66</v>
      </c>
      <c r="S7" s="38">
        <f>out!R7</f>
        <v>66</v>
      </c>
      <c r="T7" s="35">
        <f>out!S7</f>
        <v>0</v>
      </c>
      <c r="U7" s="38">
        <f>out!T7</f>
        <v>72</v>
      </c>
      <c r="V7" s="35">
        <f>out!U7</f>
        <v>72</v>
      </c>
    </row>
    <row r="8" spans="1:22">
      <c r="A8" s="36">
        <f t="shared" si="0"/>
        <v>8</v>
      </c>
      <c r="B8" s="35" t="str">
        <f>out!A8</f>
        <v>RFL</v>
      </c>
      <c r="C8" s="35" t="str">
        <f>out!B8</f>
        <v>B</v>
      </c>
      <c r="D8" s="35">
        <f>out!C8</f>
        <v>2</v>
      </c>
      <c r="E8" s="35">
        <f>out!D8</f>
        <v>3</v>
      </c>
      <c r="F8" s="35" t="str">
        <f>out!E8</f>
        <v>RG1x</v>
      </c>
      <c r="G8" s="35" t="str">
        <f>out!F8</f>
        <v>L</v>
      </c>
      <c r="H8" s="38">
        <f>out!G8</f>
        <v>7000</v>
      </c>
      <c r="I8" s="35">
        <f>out!H8</f>
        <v>61</v>
      </c>
      <c r="J8" s="35">
        <f>out!I8</f>
        <v>0</v>
      </c>
      <c r="K8" s="35">
        <f>out!J8</f>
        <v>57</v>
      </c>
      <c r="L8" s="35">
        <f>out!K8</f>
        <v>0</v>
      </c>
      <c r="M8" s="35">
        <f>out!L8</f>
        <v>-53</v>
      </c>
      <c r="N8" s="35">
        <f>out!M8</f>
        <v>0</v>
      </c>
      <c r="O8" s="35">
        <f>out!N8</f>
        <v>39</v>
      </c>
      <c r="P8" s="35">
        <f>out!O8</f>
        <v>0</v>
      </c>
      <c r="Q8" s="35">
        <f>out!P8</f>
        <v>43</v>
      </c>
      <c r="R8" s="35">
        <f>out!Q8</f>
        <v>72</v>
      </c>
      <c r="S8" s="38">
        <f>out!R8</f>
        <v>72</v>
      </c>
      <c r="T8" s="35">
        <f>out!S8</f>
        <v>0</v>
      </c>
      <c r="U8" s="38">
        <f>out!T8</f>
        <v>66</v>
      </c>
      <c r="V8" s="35">
        <f>out!U8</f>
        <v>66</v>
      </c>
    </row>
    <row r="9" spans="1:22">
      <c r="A9" s="36">
        <f t="shared" si="0"/>
        <v>9</v>
      </c>
      <c r="B9" s="35" t="str">
        <f>out!A9</f>
        <v>RFL</v>
      </c>
      <c r="C9" s="35">
        <f>out!B9</f>
        <v>1</v>
      </c>
      <c r="D9" s="35" t="str">
        <f>out!C9</f>
        <v>A</v>
      </c>
      <c r="E9" s="35" t="str">
        <f>out!D9</f>
        <v>B</v>
      </c>
      <c r="F9" s="35" t="str">
        <f>out!E9</f>
        <v>RG1y</v>
      </c>
      <c r="G9" s="35" t="str">
        <f>out!F9</f>
        <v>L</v>
      </c>
      <c r="H9" s="38">
        <f>out!G9</f>
        <v>7000</v>
      </c>
      <c r="I9" s="35">
        <f>out!H9</f>
        <v>24</v>
      </c>
      <c r="J9" s="35">
        <f>out!I9</f>
        <v>0</v>
      </c>
      <c r="K9" s="35">
        <f>out!J9</f>
        <v>22</v>
      </c>
      <c r="L9" s="35">
        <f>out!K9</f>
        <v>0</v>
      </c>
      <c r="M9" s="35">
        <f>out!L9</f>
        <v>-29</v>
      </c>
      <c r="N9" s="35">
        <f>out!M9</f>
        <v>0</v>
      </c>
      <c r="O9" s="35">
        <f>out!N9</f>
        <v>22</v>
      </c>
      <c r="P9" s="35">
        <f>out!O9</f>
        <v>0</v>
      </c>
      <c r="Q9" s="35">
        <f>out!P9</f>
        <v>24</v>
      </c>
      <c r="R9" s="35">
        <f>out!Q9</f>
        <v>38</v>
      </c>
      <c r="S9" s="38">
        <f>out!R9</f>
        <v>38</v>
      </c>
      <c r="T9" s="35">
        <f>out!S9</f>
        <v>0</v>
      </c>
      <c r="U9" s="38">
        <f>out!T9</f>
        <v>38</v>
      </c>
      <c r="V9" s="35">
        <f>out!U9</f>
        <v>38</v>
      </c>
    </row>
    <row r="10" spans="1:22">
      <c r="A10" s="36">
        <f t="shared" si="0"/>
        <v>10</v>
      </c>
      <c r="B10" s="35" t="str">
        <f>out!A10</f>
        <v>RFL</v>
      </c>
      <c r="C10" s="35">
        <f>out!B10</f>
        <v>2</v>
      </c>
      <c r="D10" s="35" t="str">
        <f>out!C10</f>
        <v>A</v>
      </c>
      <c r="E10" s="35" t="str">
        <f>out!D10</f>
        <v>B</v>
      </c>
      <c r="F10" s="35" t="str">
        <f>out!E10</f>
        <v>RG1y</v>
      </c>
      <c r="G10" s="35" t="str">
        <f>out!F10</f>
        <v>L</v>
      </c>
      <c r="H10" s="38">
        <f>out!G10</f>
        <v>7000</v>
      </c>
      <c r="I10" s="35">
        <f>out!H10</f>
        <v>26</v>
      </c>
      <c r="J10" s="35">
        <f>out!I10</f>
        <v>0</v>
      </c>
      <c r="K10" s="35">
        <f>out!J10</f>
        <v>24</v>
      </c>
      <c r="L10" s="35">
        <f>out!K10</f>
        <v>0</v>
      </c>
      <c r="M10" s="35">
        <f>out!L10</f>
        <v>-33</v>
      </c>
      <c r="N10" s="35">
        <f>out!M10</f>
        <v>0</v>
      </c>
      <c r="O10" s="35">
        <f>out!N10</f>
        <v>24</v>
      </c>
      <c r="P10" s="35">
        <f>out!O10</f>
        <v>0</v>
      </c>
      <c r="Q10" s="35">
        <f>out!P10</f>
        <v>26</v>
      </c>
      <c r="R10" s="35">
        <f>out!Q10</f>
        <v>40</v>
      </c>
      <c r="S10" s="38">
        <f>out!R10</f>
        <v>40</v>
      </c>
      <c r="T10" s="35">
        <f>out!S10</f>
        <v>0</v>
      </c>
      <c r="U10" s="38">
        <f>out!T10</f>
        <v>40</v>
      </c>
      <c r="V10" s="35">
        <f>out!U10</f>
        <v>40</v>
      </c>
    </row>
    <row r="11" spans="1:22">
      <c r="A11" s="36">
        <f t="shared" si="0"/>
        <v>11</v>
      </c>
      <c r="B11" s="35" t="str">
        <f>out!A11</f>
        <v>RFL</v>
      </c>
      <c r="C11" s="35">
        <f>out!B11</f>
        <v>3</v>
      </c>
      <c r="D11" s="35" t="str">
        <f>out!C11</f>
        <v>A</v>
      </c>
      <c r="E11" s="35" t="str">
        <f>out!D11</f>
        <v>B</v>
      </c>
      <c r="F11" s="35" t="str">
        <f>out!E11</f>
        <v>RG1y</v>
      </c>
      <c r="G11" s="35" t="str">
        <f>out!F11</f>
        <v>L</v>
      </c>
      <c r="H11" s="38">
        <f>out!G11</f>
        <v>7000</v>
      </c>
      <c r="I11" s="35">
        <f>out!H11</f>
        <v>24</v>
      </c>
      <c r="J11" s="35">
        <f>out!I11</f>
        <v>0</v>
      </c>
      <c r="K11" s="35">
        <f>out!J11</f>
        <v>22</v>
      </c>
      <c r="L11" s="35">
        <f>out!K11</f>
        <v>0</v>
      </c>
      <c r="M11" s="35">
        <f>out!L11</f>
        <v>-29</v>
      </c>
      <c r="N11" s="35">
        <f>out!M11</f>
        <v>0</v>
      </c>
      <c r="O11" s="35">
        <f>out!N11</f>
        <v>22</v>
      </c>
      <c r="P11" s="35">
        <f>out!O11</f>
        <v>0</v>
      </c>
      <c r="Q11" s="35">
        <f>out!P11</f>
        <v>24</v>
      </c>
      <c r="R11" s="35">
        <f>out!Q11</f>
        <v>38</v>
      </c>
      <c r="S11" s="38">
        <f>out!R11</f>
        <v>38</v>
      </c>
      <c r="T11" s="35">
        <f>out!S11</f>
        <v>0</v>
      </c>
      <c r="U11" s="38">
        <f>out!T11</f>
        <v>38</v>
      </c>
      <c r="V11" s="35">
        <f>out!U11</f>
        <v>38</v>
      </c>
    </row>
    <row r="12" spans="1:22">
      <c r="A12" s="36">
        <f t="shared" si="0"/>
        <v>12</v>
      </c>
      <c r="B12" s="35" t="str">
        <f>out!A12</f>
        <v>3FL</v>
      </c>
      <c r="C12" s="35" t="str">
        <f>out!B12</f>
        <v>A</v>
      </c>
      <c r="D12" s="35">
        <f>out!C12</f>
        <v>1</v>
      </c>
      <c r="E12" s="35">
        <f>out!D12</f>
        <v>2</v>
      </c>
      <c r="F12" s="35" t="str">
        <f>out!E12</f>
        <v>3G1x</v>
      </c>
      <c r="G12" s="35" t="str">
        <f>out!F12</f>
        <v>L</v>
      </c>
      <c r="H12" s="38">
        <f>out!G12</f>
        <v>7000</v>
      </c>
      <c r="I12" s="35">
        <f>out!H12</f>
        <v>47</v>
      </c>
      <c r="J12" s="35">
        <f>out!I12</f>
        <v>0</v>
      </c>
      <c r="K12" s="35">
        <f>out!J12</f>
        <v>44</v>
      </c>
      <c r="L12" s="35">
        <f>out!K12</f>
        <v>0</v>
      </c>
      <c r="M12" s="35">
        <f>out!L12</f>
        <v>-48</v>
      </c>
      <c r="N12" s="35">
        <f>out!M12</f>
        <v>0</v>
      </c>
      <c r="O12" s="35">
        <f>out!N12</f>
        <v>50</v>
      </c>
      <c r="P12" s="35">
        <f>out!O12</f>
        <v>0</v>
      </c>
      <c r="Q12" s="35">
        <f>out!P12</f>
        <v>53</v>
      </c>
      <c r="R12" s="35">
        <f>out!Q12</f>
        <v>65</v>
      </c>
      <c r="S12" s="38">
        <f>out!R12</f>
        <v>65</v>
      </c>
      <c r="T12" s="35">
        <f>out!S12</f>
        <v>0</v>
      </c>
      <c r="U12" s="38">
        <f>out!T12</f>
        <v>67</v>
      </c>
      <c r="V12" s="35">
        <f>out!U12</f>
        <v>67</v>
      </c>
    </row>
    <row r="13" spans="1:22">
      <c r="A13" s="36">
        <f t="shared" si="0"/>
        <v>13</v>
      </c>
      <c r="B13" s="35" t="str">
        <f>out!A13</f>
        <v>3FL</v>
      </c>
      <c r="C13" s="35" t="str">
        <f>out!B13</f>
        <v>A</v>
      </c>
      <c r="D13" s="35">
        <f>out!C13</f>
        <v>2</v>
      </c>
      <c r="E13" s="35">
        <f>out!D13</f>
        <v>3</v>
      </c>
      <c r="F13" s="35" t="str">
        <f>out!E13</f>
        <v>3G1x</v>
      </c>
      <c r="G13" s="35" t="str">
        <f>out!F13</f>
        <v>L</v>
      </c>
      <c r="H13" s="38">
        <f>out!G13</f>
        <v>7000</v>
      </c>
      <c r="I13" s="35">
        <f>out!H13</f>
        <v>53</v>
      </c>
      <c r="J13" s="35">
        <f>out!I13</f>
        <v>0</v>
      </c>
      <c r="K13" s="35">
        <f>out!J13</f>
        <v>50</v>
      </c>
      <c r="L13" s="35">
        <f>out!K13</f>
        <v>0</v>
      </c>
      <c r="M13" s="35">
        <f>out!L13</f>
        <v>-48</v>
      </c>
      <c r="N13" s="35">
        <f>out!M13</f>
        <v>0</v>
      </c>
      <c r="O13" s="35">
        <f>out!N13</f>
        <v>44</v>
      </c>
      <c r="P13" s="35">
        <f>out!O13</f>
        <v>0</v>
      </c>
      <c r="Q13" s="35">
        <f>out!P13</f>
        <v>47</v>
      </c>
      <c r="R13" s="35">
        <f>out!Q13</f>
        <v>67</v>
      </c>
      <c r="S13" s="38">
        <f>out!R13</f>
        <v>67</v>
      </c>
      <c r="T13" s="35">
        <f>out!S13</f>
        <v>0</v>
      </c>
      <c r="U13" s="38">
        <f>out!T13</f>
        <v>65</v>
      </c>
      <c r="V13" s="35">
        <f>out!U13</f>
        <v>65</v>
      </c>
    </row>
    <row r="14" spans="1:22">
      <c r="A14" s="36">
        <f t="shared" si="0"/>
        <v>14</v>
      </c>
      <c r="B14" s="35" t="str">
        <f>out!A14</f>
        <v>3FL</v>
      </c>
      <c r="C14" s="35" t="str">
        <f>out!B14</f>
        <v>B</v>
      </c>
      <c r="D14" s="35">
        <f>out!C14</f>
        <v>1</v>
      </c>
      <c r="E14" s="35">
        <f>out!D14</f>
        <v>2</v>
      </c>
      <c r="F14" s="35" t="str">
        <f>out!E14</f>
        <v>3G1x</v>
      </c>
      <c r="G14" s="35" t="str">
        <f>out!F14</f>
        <v>L</v>
      </c>
      <c r="H14" s="38">
        <f>out!G14</f>
        <v>7000</v>
      </c>
      <c r="I14" s="35">
        <f>out!H14</f>
        <v>47</v>
      </c>
      <c r="J14" s="35">
        <f>out!I14</f>
        <v>0</v>
      </c>
      <c r="K14" s="35">
        <f>out!J14</f>
        <v>44</v>
      </c>
      <c r="L14" s="35">
        <f>out!K14</f>
        <v>0</v>
      </c>
      <c r="M14" s="35">
        <f>out!L14</f>
        <v>-48</v>
      </c>
      <c r="N14" s="35">
        <f>out!M14</f>
        <v>0</v>
      </c>
      <c r="O14" s="35">
        <f>out!N14</f>
        <v>50</v>
      </c>
      <c r="P14" s="35">
        <f>out!O14</f>
        <v>0</v>
      </c>
      <c r="Q14" s="35">
        <f>out!P14</f>
        <v>53</v>
      </c>
      <c r="R14" s="35">
        <f>out!Q14</f>
        <v>65</v>
      </c>
      <c r="S14" s="38">
        <f>out!R14</f>
        <v>65</v>
      </c>
      <c r="T14" s="35">
        <f>out!S14</f>
        <v>0</v>
      </c>
      <c r="U14" s="38">
        <f>out!T14</f>
        <v>67</v>
      </c>
      <c r="V14" s="35">
        <f>out!U14</f>
        <v>67</v>
      </c>
    </row>
    <row r="15" spans="1:22">
      <c r="A15" s="36">
        <f t="shared" si="0"/>
        <v>15</v>
      </c>
      <c r="B15" s="35" t="str">
        <f>out!A15</f>
        <v>3FL</v>
      </c>
      <c r="C15" s="35" t="str">
        <f>out!B15</f>
        <v>B</v>
      </c>
      <c r="D15" s="35">
        <f>out!C15</f>
        <v>2</v>
      </c>
      <c r="E15" s="35">
        <f>out!D15</f>
        <v>3</v>
      </c>
      <c r="F15" s="35" t="str">
        <f>out!E15</f>
        <v>3G1x</v>
      </c>
      <c r="G15" s="35" t="str">
        <f>out!F15</f>
        <v>L</v>
      </c>
      <c r="H15" s="38">
        <f>out!G15</f>
        <v>7000</v>
      </c>
      <c r="I15" s="35">
        <f>out!H15</f>
        <v>53</v>
      </c>
      <c r="J15" s="35">
        <f>out!I15</f>
        <v>0</v>
      </c>
      <c r="K15" s="35">
        <f>out!J15</f>
        <v>50</v>
      </c>
      <c r="L15" s="35">
        <f>out!K15</f>
        <v>0</v>
      </c>
      <c r="M15" s="35">
        <f>out!L15</f>
        <v>-48</v>
      </c>
      <c r="N15" s="35">
        <f>out!M15</f>
        <v>0</v>
      </c>
      <c r="O15" s="35">
        <f>out!N15</f>
        <v>44</v>
      </c>
      <c r="P15" s="35">
        <f>out!O15</f>
        <v>0</v>
      </c>
      <c r="Q15" s="35">
        <f>out!P15</f>
        <v>47</v>
      </c>
      <c r="R15" s="35">
        <f>out!Q15</f>
        <v>67</v>
      </c>
      <c r="S15" s="38">
        <f>out!R15</f>
        <v>67</v>
      </c>
      <c r="T15" s="35">
        <f>out!S15</f>
        <v>0</v>
      </c>
      <c r="U15" s="38">
        <f>out!T15</f>
        <v>65</v>
      </c>
      <c r="V15" s="35">
        <f>out!U15</f>
        <v>65</v>
      </c>
    </row>
    <row r="16" spans="1:22">
      <c r="A16" s="36">
        <f t="shared" si="0"/>
        <v>16</v>
      </c>
      <c r="B16" s="35" t="str">
        <f>out!A16</f>
        <v>3FL</v>
      </c>
      <c r="C16" s="35">
        <f>out!B16</f>
        <v>1</v>
      </c>
      <c r="D16" s="35" t="str">
        <f>out!C16</f>
        <v>A</v>
      </c>
      <c r="E16" s="35" t="str">
        <f>out!D16</f>
        <v>B</v>
      </c>
      <c r="F16" s="35" t="str">
        <f>out!E16</f>
        <v>3G1y</v>
      </c>
      <c r="G16" s="35" t="str">
        <f>out!F16</f>
        <v>L</v>
      </c>
      <c r="H16" s="38">
        <f>out!G16</f>
        <v>7000</v>
      </c>
      <c r="I16" s="35">
        <f>out!H16</f>
        <v>25</v>
      </c>
      <c r="J16" s="35">
        <f>out!I16</f>
        <v>0</v>
      </c>
      <c r="K16" s="35">
        <f>out!J16</f>
        <v>23</v>
      </c>
      <c r="L16" s="35">
        <f>out!K16</f>
        <v>0</v>
      </c>
      <c r="M16" s="35">
        <f>out!L16</f>
        <v>-26</v>
      </c>
      <c r="N16" s="35">
        <f>out!M16</f>
        <v>0</v>
      </c>
      <c r="O16" s="35">
        <f>out!N16</f>
        <v>23</v>
      </c>
      <c r="P16" s="35">
        <f>out!O16</f>
        <v>0</v>
      </c>
      <c r="Q16" s="35">
        <f>out!P16</f>
        <v>25</v>
      </c>
      <c r="R16" s="35">
        <f>out!Q16</f>
        <v>37</v>
      </c>
      <c r="S16" s="38">
        <f>out!R16</f>
        <v>37</v>
      </c>
      <c r="T16" s="35">
        <f>out!S16</f>
        <v>0</v>
      </c>
      <c r="U16" s="38">
        <f>out!T16</f>
        <v>37</v>
      </c>
      <c r="V16" s="35">
        <f>out!U16</f>
        <v>37</v>
      </c>
    </row>
    <row r="17" spans="1:22">
      <c r="A17" s="36">
        <f t="shared" si="0"/>
        <v>17</v>
      </c>
      <c r="B17" s="35" t="str">
        <f>out!A17</f>
        <v>3FL</v>
      </c>
      <c r="C17" s="35">
        <f>out!B17</f>
        <v>2</v>
      </c>
      <c r="D17" s="35" t="str">
        <f>out!C17</f>
        <v>A</v>
      </c>
      <c r="E17" s="35" t="str">
        <f>out!D17</f>
        <v>B</v>
      </c>
      <c r="F17" s="35" t="str">
        <f>out!E17</f>
        <v>3G1y</v>
      </c>
      <c r="G17" s="35" t="str">
        <f>out!F17</f>
        <v>L</v>
      </c>
      <c r="H17" s="38">
        <f>out!G17</f>
        <v>7000</v>
      </c>
      <c r="I17" s="35">
        <f>out!H17</f>
        <v>27</v>
      </c>
      <c r="J17" s="35">
        <f>out!I17</f>
        <v>0</v>
      </c>
      <c r="K17" s="35">
        <f>out!J17</f>
        <v>25</v>
      </c>
      <c r="L17" s="35">
        <f>out!K17</f>
        <v>0</v>
      </c>
      <c r="M17" s="35">
        <f>out!L17</f>
        <v>-29</v>
      </c>
      <c r="N17" s="35">
        <f>out!M17</f>
        <v>0</v>
      </c>
      <c r="O17" s="35">
        <f>out!N17</f>
        <v>25</v>
      </c>
      <c r="P17" s="35">
        <f>out!O17</f>
        <v>0</v>
      </c>
      <c r="Q17" s="35">
        <f>out!P17</f>
        <v>27</v>
      </c>
      <c r="R17" s="35">
        <f>out!Q17</f>
        <v>38</v>
      </c>
      <c r="S17" s="38">
        <f>out!R17</f>
        <v>38</v>
      </c>
      <c r="T17" s="35">
        <f>out!S17</f>
        <v>0</v>
      </c>
      <c r="U17" s="38">
        <f>out!T17</f>
        <v>38</v>
      </c>
      <c r="V17" s="35">
        <f>out!U17</f>
        <v>38</v>
      </c>
    </row>
    <row r="18" spans="1:22">
      <c r="A18" s="36">
        <f t="shared" si="0"/>
        <v>18</v>
      </c>
      <c r="B18" s="35" t="str">
        <f>out!A18</f>
        <v>3FL</v>
      </c>
      <c r="C18" s="35">
        <f>out!B18</f>
        <v>3</v>
      </c>
      <c r="D18" s="35" t="str">
        <f>out!C18</f>
        <v>A</v>
      </c>
      <c r="E18" s="35" t="str">
        <f>out!D18</f>
        <v>B</v>
      </c>
      <c r="F18" s="35" t="str">
        <f>out!E18</f>
        <v>3G1y</v>
      </c>
      <c r="G18" s="35" t="str">
        <f>out!F18</f>
        <v>L</v>
      </c>
      <c r="H18" s="38">
        <f>out!G18</f>
        <v>7000</v>
      </c>
      <c r="I18" s="35">
        <f>out!H18</f>
        <v>25</v>
      </c>
      <c r="J18" s="35">
        <f>out!I18</f>
        <v>0</v>
      </c>
      <c r="K18" s="35">
        <f>out!J18</f>
        <v>23</v>
      </c>
      <c r="L18" s="35">
        <f>out!K18</f>
        <v>0</v>
      </c>
      <c r="M18" s="35">
        <f>out!L18</f>
        <v>-26</v>
      </c>
      <c r="N18" s="35">
        <f>out!M18</f>
        <v>0</v>
      </c>
      <c r="O18" s="35">
        <f>out!N18</f>
        <v>23</v>
      </c>
      <c r="P18" s="35">
        <f>out!O18</f>
        <v>0</v>
      </c>
      <c r="Q18" s="35">
        <f>out!P18</f>
        <v>25</v>
      </c>
      <c r="R18" s="35">
        <f>out!Q18</f>
        <v>37</v>
      </c>
      <c r="S18" s="38">
        <f>out!R18</f>
        <v>37</v>
      </c>
      <c r="T18" s="35">
        <f>out!S18</f>
        <v>0</v>
      </c>
      <c r="U18" s="38">
        <f>out!T18</f>
        <v>37</v>
      </c>
      <c r="V18" s="35">
        <f>out!U18</f>
        <v>37</v>
      </c>
    </row>
    <row r="19" spans="1:22">
      <c r="A19" s="36">
        <f t="shared" si="0"/>
        <v>19</v>
      </c>
      <c r="B19" s="35" t="str">
        <f>out!A19</f>
        <v>2FL</v>
      </c>
      <c r="C19" s="35" t="str">
        <f>out!B19</f>
        <v>A</v>
      </c>
      <c r="D19" s="35">
        <f>out!C19</f>
        <v>1</v>
      </c>
      <c r="E19" s="35">
        <f>out!D19</f>
        <v>2</v>
      </c>
      <c r="F19" s="35" t="str">
        <f>out!E19</f>
        <v>2G1x</v>
      </c>
      <c r="G19" s="35" t="str">
        <f>out!F19</f>
        <v>L</v>
      </c>
      <c r="H19" s="38">
        <f>out!G19</f>
        <v>7000</v>
      </c>
      <c r="I19" s="35">
        <f>out!H19</f>
        <v>36</v>
      </c>
      <c r="J19" s="35">
        <f>out!I19</f>
        <v>0</v>
      </c>
      <c r="K19" s="35">
        <f>out!J19</f>
        <v>35</v>
      </c>
      <c r="L19" s="35">
        <f>out!K19</f>
        <v>0</v>
      </c>
      <c r="M19" s="35">
        <f>out!L19</f>
        <v>-52</v>
      </c>
      <c r="N19" s="35">
        <f>out!M19</f>
        <v>0</v>
      </c>
      <c r="O19" s="35">
        <f>out!N19</f>
        <v>55</v>
      </c>
      <c r="P19" s="35">
        <f>out!O19</f>
        <v>0</v>
      </c>
      <c r="Q19" s="35">
        <f>out!P19</f>
        <v>55</v>
      </c>
      <c r="R19" s="35">
        <f>out!Q19</f>
        <v>63</v>
      </c>
      <c r="S19" s="38">
        <f>out!R19</f>
        <v>63</v>
      </c>
      <c r="T19" s="35">
        <f>out!S19</f>
        <v>0</v>
      </c>
      <c r="U19" s="38">
        <f>out!T19</f>
        <v>70</v>
      </c>
      <c r="V19" s="35">
        <f>out!U19</f>
        <v>70</v>
      </c>
    </row>
    <row r="20" spans="1:22">
      <c r="A20" s="36">
        <f t="shared" si="0"/>
        <v>20</v>
      </c>
      <c r="B20" s="35" t="str">
        <f>out!A20</f>
        <v>2FL</v>
      </c>
      <c r="C20" s="35" t="str">
        <f>out!B20</f>
        <v>A</v>
      </c>
      <c r="D20" s="35">
        <f>out!C20</f>
        <v>2</v>
      </c>
      <c r="E20" s="35">
        <f>out!D20</f>
        <v>3</v>
      </c>
      <c r="F20" s="35" t="str">
        <f>out!E20</f>
        <v>2G1x</v>
      </c>
      <c r="G20" s="35" t="str">
        <f>out!F20</f>
        <v>L</v>
      </c>
      <c r="H20" s="38">
        <f>out!G20</f>
        <v>7000</v>
      </c>
      <c r="I20" s="35">
        <f>out!H20</f>
        <v>55</v>
      </c>
      <c r="J20" s="35">
        <f>out!I20</f>
        <v>0</v>
      </c>
      <c r="K20" s="35">
        <f>out!J20</f>
        <v>55</v>
      </c>
      <c r="L20" s="35">
        <f>out!K20</f>
        <v>0</v>
      </c>
      <c r="M20" s="35">
        <f>out!L20</f>
        <v>-52</v>
      </c>
      <c r="N20" s="35">
        <f>out!M20</f>
        <v>0</v>
      </c>
      <c r="O20" s="35">
        <f>out!N20</f>
        <v>35</v>
      </c>
      <c r="P20" s="35">
        <f>out!O20</f>
        <v>0</v>
      </c>
      <c r="Q20" s="35">
        <f>out!P20</f>
        <v>36</v>
      </c>
      <c r="R20" s="35">
        <f>out!Q20</f>
        <v>70</v>
      </c>
      <c r="S20" s="38">
        <f>out!R20</f>
        <v>70</v>
      </c>
      <c r="T20" s="35">
        <f>out!S20</f>
        <v>0</v>
      </c>
      <c r="U20" s="38">
        <f>out!T20</f>
        <v>63</v>
      </c>
      <c r="V20" s="35">
        <f>out!U20</f>
        <v>63</v>
      </c>
    </row>
    <row r="21" spans="1:22">
      <c r="A21" s="36">
        <f t="shared" si="0"/>
        <v>21</v>
      </c>
      <c r="B21" s="35" t="str">
        <f>out!A21</f>
        <v>2FL</v>
      </c>
      <c r="C21" s="35" t="str">
        <f>out!B21</f>
        <v>B</v>
      </c>
      <c r="D21" s="35">
        <f>out!C21</f>
        <v>1</v>
      </c>
      <c r="E21" s="35">
        <f>out!D21</f>
        <v>2</v>
      </c>
      <c r="F21" s="35" t="str">
        <f>out!E21</f>
        <v>2G1x</v>
      </c>
      <c r="G21" s="35" t="str">
        <f>out!F21</f>
        <v>L</v>
      </c>
      <c r="H21" s="38">
        <f>out!G21</f>
        <v>7000</v>
      </c>
      <c r="I21" s="35">
        <f>out!H21</f>
        <v>36</v>
      </c>
      <c r="J21" s="35">
        <f>out!I21</f>
        <v>0</v>
      </c>
      <c r="K21" s="35">
        <f>out!J21</f>
        <v>35</v>
      </c>
      <c r="L21" s="35">
        <f>out!K21</f>
        <v>0</v>
      </c>
      <c r="M21" s="35">
        <f>out!L21</f>
        <v>-52</v>
      </c>
      <c r="N21" s="35">
        <f>out!M21</f>
        <v>0</v>
      </c>
      <c r="O21" s="35">
        <f>out!N21</f>
        <v>55</v>
      </c>
      <c r="P21" s="35">
        <f>out!O21</f>
        <v>0</v>
      </c>
      <c r="Q21" s="35">
        <f>out!P21</f>
        <v>55</v>
      </c>
      <c r="R21" s="35">
        <f>out!Q21</f>
        <v>63</v>
      </c>
      <c r="S21" s="38">
        <f>out!R21</f>
        <v>63</v>
      </c>
      <c r="T21" s="35">
        <f>out!S21</f>
        <v>0</v>
      </c>
      <c r="U21" s="38">
        <f>out!T21</f>
        <v>70</v>
      </c>
      <c r="V21" s="35">
        <f>out!U21</f>
        <v>70</v>
      </c>
    </row>
    <row r="22" spans="1:22">
      <c r="A22" s="36">
        <f t="shared" si="0"/>
        <v>22</v>
      </c>
      <c r="B22" s="35" t="str">
        <f>out!A22</f>
        <v>2FL</v>
      </c>
      <c r="C22" s="35" t="str">
        <f>out!B22</f>
        <v>B</v>
      </c>
      <c r="D22" s="35">
        <f>out!C22</f>
        <v>2</v>
      </c>
      <c r="E22" s="35">
        <f>out!D22</f>
        <v>3</v>
      </c>
      <c r="F22" s="35" t="str">
        <f>out!E22</f>
        <v>2G1x</v>
      </c>
      <c r="G22" s="35" t="str">
        <f>out!F22</f>
        <v>L</v>
      </c>
      <c r="H22" s="38">
        <f>out!G22</f>
        <v>7000</v>
      </c>
      <c r="I22" s="35">
        <f>out!H22</f>
        <v>55</v>
      </c>
      <c r="J22" s="35">
        <f>out!I22</f>
        <v>0</v>
      </c>
      <c r="K22" s="35">
        <f>out!J22</f>
        <v>55</v>
      </c>
      <c r="L22" s="35">
        <f>out!K22</f>
        <v>0</v>
      </c>
      <c r="M22" s="35">
        <f>out!L22</f>
        <v>-52</v>
      </c>
      <c r="N22" s="35">
        <f>out!M22</f>
        <v>0</v>
      </c>
      <c r="O22" s="35">
        <f>out!N22</f>
        <v>35</v>
      </c>
      <c r="P22" s="35">
        <f>out!O22</f>
        <v>0</v>
      </c>
      <c r="Q22" s="35">
        <f>out!P22</f>
        <v>36</v>
      </c>
      <c r="R22" s="35">
        <f>out!Q22</f>
        <v>70</v>
      </c>
      <c r="S22" s="38">
        <f>out!R22</f>
        <v>70</v>
      </c>
      <c r="T22" s="35">
        <f>out!S22</f>
        <v>0</v>
      </c>
      <c r="U22" s="38">
        <f>out!T22</f>
        <v>63</v>
      </c>
      <c r="V22" s="35">
        <f>out!U22</f>
        <v>63</v>
      </c>
    </row>
    <row r="23" spans="1:22">
      <c r="A23" s="36">
        <f t="shared" si="0"/>
        <v>23</v>
      </c>
      <c r="B23" s="35" t="str">
        <f>out!A23</f>
        <v>2FL</v>
      </c>
      <c r="C23" s="35">
        <f>out!B23</f>
        <v>1</v>
      </c>
      <c r="D23" s="35" t="str">
        <f>out!C23</f>
        <v>A</v>
      </c>
      <c r="E23" s="35" t="str">
        <f>out!D23</f>
        <v>B</v>
      </c>
      <c r="F23" s="35" t="str">
        <f>out!E23</f>
        <v>2G1y</v>
      </c>
      <c r="G23" s="35" t="str">
        <f>out!F23</f>
        <v>L</v>
      </c>
      <c r="H23" s="38">
        <f>out!G23</f>
        <v>7000</v>
      </c>
      <c r="I23" s="35">
        <f>out!H23</f>
        <v>21</v>
      </c>
      <c r="J23" s="35">
        <f>out!I23</f>
        <v>0</v>
      </c>
      <c r="K23" s="35">
        <f>out!J23</f>
        <v>21</v>
      </c>
      <c r="L23" s="35">
        <f>out!K23</f>
        <v>0</v>
      </c>
      <c r="M23" s="35">
        <f>out!L23</f>
        <v>-30</v>
      </c>
      <c r="N23" s="35">
        <f>out!M23</f>
        <v>0</v>
      </c>
      <c r="O23" s="35">
        <f>out!N23</f>
        <v>21</v>
      </c>
      <c r="P23" s="35">
        <f>out!O23</f>
        <v>0</v>
      </c>
      <c r="Q23" s="35">
        <f>out!P23</f>
        <v>21</v>
      </c>
      <c r="R23" s="35">
        <f>out!Q23</f>
        <v>38</v>
      </c>
      <c r="S23" s="38">
        <f>out!R23</f>
        <v>38</v>
      </c>
      <c r="T23" s="35">
        <f>out!S23</f>
        <v>0</v>
      </c>
      <c r="U23" s="38">
        <f>out!T23</f>
        <v>38</v>
      </c>
      <c r="V23" s="35">
        <f>out!U23</f>
        <v>38</v>
      </c>
    </row>
    <row r="24" spans="1:22">
      <c r="A24" s="36">
        <f t="shared" si="0"/>
        <v>24</v>
      </c>
      <c r="B24" s="35" t="str">
        <f>out!A24</f>
        <v>2FL</v>
      </c>
      <c r="C24" s="35">
        <f>out!B24</f>
        <v>2</v>
      </c>
      <c r="D24" s="35" t="str">
        <f>out!C24</f>
        <v>A</v>
      </c>
      <c r="E24" s="35" t="str">
        <f>out!D24</f>
        <v>B</v>
      </c>
      <c r="F24" s="35" t="str">
        <f>out!E24</f>
        <v>2G1y</v>
      </c>
      <c r="G24" s="35" t="str">
        <f>out!F24</f>
        <v>L</v>
      </c>
      <c r="H24" s="38">
        <f>out!G24</f>
        <v>7000</v>
      </c>
      <c r="I24" s="35">
        <f>out!H24</f>
        <v>23</v>
      </c>
      <c r="J24" s="35">
        <f>out!I24</f>
        <v>0</v>
      </c>
      <c r="K24" s="35">
        <f>out!J24</f>
        <v>23</v>
      </c>
      <c r="L24" s="35">
        <f>out!K24</f>
        <v>0</v>
      </c>
      <c r="M24" s="35">
        <f>out!L24</f>
        <v>-32</v>
      </c>
      <c r="N24" s="35">
        <f>out!M24</f>
        <v>0</v>
      </c>
      <c r="O24" s="35">
        <f>out!N24</f>
        <v>23</v>
      </c>
      <c r="P24" s="35">
        <f>out!O24</f>
        <v>0</v>
      </c>
      <c r="Q24" s="35">
        <f>out!P24</f>
        <v>23</v>
      </c>
      <c r="R24" s="35">
        <f>out!Q24</f>
        <v>39</v>
      </c>
      <c r="S24" s="38">
        <f>out!R24</f>
        <v>39</v>
      </c>
      <c r="T24" s="35">
        <f>out!S24</f>
        <v>0</v>
      </c>
      <c r="U24" s="38">
        <f>out!T24</f>
        <v>39</v>
      </c>
      <c r="V24" s="35">
        <f>out!U24</f>
        <v>39</v>
      </c>
    </row>
    <row r="25" spans="1:22">
      <c r="A25" s="36">
        <f t="shared" si="0"/>
        <v>25</v>
      </c>
      <c r="B25" s="35" t="str">
        <f>out!A25</f>
        <v>2FL</v>
      </c>
      <c r="C25" s="35">
        <f>out!B25</f>
        <v>3</v>
      </c>
      <c r="D25" s="35" t="str">
        <f>out!C25</f>
        <v>A</v>
      </c>
      <c r="E25" s="35" t="str">
        <f>out!D25</f>
        <v>B</v>
      </c>
      <c r="F25" s="35" t="str">
        <f>out!E25</f>
        <v>2G1y</v>
      </c>
      <c r="G25" s="35" t="str">
        <f>out!F25</f>
        <v>L</v>
      </c>
      <c r="H25" s="38">
        <f>out!G25</f>
        <v>7000</v>
      </c>
      <c r="I25" s="35">
        <f>out!H25</f>
        <v>21</v>
      </c>
      <c r="J25" s="35">
        <f>out!I25</f>
        <v>0</v>
      </c>
      <c r="K25" s="35">
        <f>out!J25</f>
        <v>21</v>
      </c>
      <c r="L25" s="35">
        <f>out!K25</f>
        <v>0</v>
      </c>
      <c r="M25" s="35">
        <f>out!L25</f>
        <v>-30</v>
      </c>
      <c r="N25" s="35">
        <f>out!M25</f>
        <v>0</v>
      </c>
      <c r="O25" s="35">
        <f>out!N25</f>
        <v>21</v>
      </c>
      <c r="P25" s="35">
        <f>out!O25</f>
        <v>0</v>
      </c>
      <c r="Q25" s="35">
        <f>out!P25</f>
        <v>21</v>
      </c>
      <c r="R25" s="35">
        <f>out!Q25</f>
        <v>38</v>
      </c>
      <c r="S25" s="38">
        <f>out!R25</f>
        <v>38</v>
      </c>
      <c r="T25" s="35">
        <f>out!S25</f>
        <v>0</v>
      </c>
      <c r="U25" s="38">
        <f>out!T25</f>
        <v>38</v>
      </c>
      <c r="V25" s="35">
        <f>out!U25</f>
        <v>38</v>
      </c>
    </row>
    <row r="26" spans="1:22">
      <c r="A26" s="36">
        <f t="shared" si="0"/>
        <v>26</v>
      </c>
      <c r="B26" s="35" t="str">
        <f>out!A26</f>
        <v>1FL</v>
      </c>
      <c r="C26" s="35" t="str">
        <f>out!B26</f>
        <v>A</v>
      </c>
      <c r="D26" s="35">
        <f>out!C26</f>
        <v>1</v>
      </c>
      <c r="E26" s="35">
        <f>out!D26</f>
        <v>2</v>
      </c>
      <c r="F26" s="35" t="str">
        <f>out!E26</f>
        <v>1G1x</v>
      </c>
      <c r="G26" s="35" t="str">
        <f>out!F26</f>
        <v>L</v>
      </c>
      <c r="H26" s="38">
        <f>out!G26</f>
        <v>7000</v>
      </c>
      <c r="I26" s="35">
        <f>out!H26</f>
        <v>43</v>
      </c>
      <c r="J26" s="35">
        <f>out!I26</f>
        <v>0</v>
      </c>
      <c r="K26" s="35">
        <f>out!J26</f>
        <v>0</v>
      </c>
      <c r="L26" s="35">
        <f>out!K26</f>
        <v>-113</v>
      </c>
      <c r="M26" s="35">
        <f>out!L26</f>
        <v>-176</v>
      </c>
      <c r="N26" s="35">
        <f>out!M26</f>
        <v>-16</v>
      </c>
      <c r="O26" s="35">
        <f>out!N26</f>
        <v>0</v>
      </c>
      <c r="P26" s="35">
        <f>out!O26</f>
        <v>0</v>
      </c>
      <c r="Q26" s="35">
        <f>out!P26</f>
        <v>250</v>
      </c>
      <c r="R26" s="35">
        <f>out!Q26</f>
        <v>104</v>
      </c>
      <c r="S26" s="38">
        <f>out!R26</f>
        <v>0</v>
      </c>
      <c r="T26" s="35">
        <f>out!S26</f>
        <v>122</v>
      </c>
      <c r="U26" s="38">
        <f>out!T26</f>
        <v>0</v>
      </c>
      <c r="V26" s="35">
        <f>out!U26</f>
        <v>163</v>
      </c>
    </row>
    <row r="27" spans="1:22">
      <c r="A27" s="36">
        <f t="shared" si="0"/>
        <v>27</v>
      </c>
      <c r="B27" s="35" t="str">
        <f>out!A27</f>
        <v>1FL</v>
      </c>
      <c r="C27" s="35" t="str">
        <f>out!B27</f>
        <v>A</v>
      </c>
      <c r="D27" s="35">
        <f>out!C27</f>
        <v>2</v>
      </c>
      <c r="E27" s="35">
        <f>out!D27</f>
        <v>3</v>
      </c>
      <c r="F27" s="35" t="str">
        <f>out!E27</f>
        <v>1G1x</v>
      </c>
      <c r="G27" s="35" t="str">
        <f>out!F27</f>
        <v>L</v>
      </c>
      <c r="H27" s="38">
        <f>out!G27</f>
        <v>7000</v>
      </c>
      <c r="I27" s="35">
        <f>out!H27</f>
        <v>250</v>
      </c>
      <c r="J27" s="35">
        <f>out!I27</f>
        <v>0</v>
      </c>
      <c r="K27" s="35">
        <f>out!J27</f>
        <v>0</v>
      </c>
      <c r="L27" s="35">
        <f>out!K27</f>
        <v>-16</v>
      </c>
      <c r="M27" s="35">
        <f>out!L27</f>
        <v>-176</v>
      </c>
      <c r="N27" s="35">
        <f>out!M27</f>
        <v>-113</v>
      </c>
      <c r="O27" s="35">
        <f>out!N27</f>
        <v>0</v>
      </c>
      <c r="P27" s="35">
        <f>out!O27</f>
        <v>0</v>
      </c>
      <c r="Q27" s="35">
        <f>out!P27</f>
        <v>43</v>
      </c>
      <c r="R27" s="35">
        <f>out!Q27</f>
        <v>163</v>
      </c>
      <c r="S27" s="38">
        <f>out!R27</f>
        <v>0</v>
      </c>
      <c r="T27" s="35">
        <f>out!S27</f>
        <v>122</v>
      </c>
      <c r="U27" s="38">
        <f>out!T27</f>
        <v>0</v>
      </c>
      <c r="V27" s="35">
        <f>out!U27</f>
        <v>104</v>
      </c>
    </row>
    <row r="28" spans="1:22">
      <c r="A28" s="36">
        <f t="shared" si="0"/>
        <v>28</v>
      </c>
      <c r="B28" s="35" t="str">
        <f>out!A28</f>
        <v>1FL</v>
      </c>
      <c r="C28" s="35" t="str">
        <f>out!B28</f>
        <v>B</v>
      </c>
      <c r="D28" s="35">
        <f>out!C28</f>
        <v>1</v>
      </c>
      <c r="E28" s="35">
        <f>out!D28</f>
        <v>2</v>
      </c>
      <c r="F28" s="35" t="str">
        <f>out!E28</f>
        <v>1G1x</v>
      </c>
      <c r="G28" s="35" t="str">
        <f>out!F28</f>
        <v>L</v>
      </c>
      <c r="H28" s="38">
        <f>out!G28</f>
        <v>7000</v>
      </c>
      <c r="I28" s="35">
        <f>out!H28</f>
        <v>43</v>
      </c>
      <c r="J28" s="35">
        <f>out!I28</f>
        <v>0</v>
      </c>
      <c r="K28" s="35">
        <f>out!J28</f>
        <v>0</v>
      </c>
      <c r="L28" s="35">
        <f>out!K28</f>
        <v>-113</v>
      </c>
      <c r="M28" s="35">
        <f>out!L28</f>
        <v>-176</v>
      </c>
      <c r="N28" s="35">
        <f>out!M28</f>
        <v>-16</v>
      </c>
      <c r="O28" s="35">
        <f>out!N28</f>
        <v>0</v>
      </c>
      <c r="P28" s="35">
        <f>out!O28</f>
        <v>0</v>
      </c>
      <c r="Q28" s="35">
        <f>out!P28</f>
        <v>250</v>
      </c>
      <c r="R28" s="35">
        <f>out!Q28</f>
        <v>104</v>
      </c>
      <c r="S28" s="38">
        <f>out!R28</f>
        <v>0</v>
      </c>
      <c r="T28" s="35">
        <f>out!S28</f>
        <v>122</v>
      </c>
      <c r="U28" s="38">
        <f>out!T28</f>
        <v>0</v>
      </c>
      <c r="V28" s="35">
        <f>out!U28</f>
        <v>163</v>
      </c>
    </row>
    <row r="29" spans="1:22">
      <c r="A29" s="36">
        <f t="shared" si="0"/>
        <v>29</v>
      </c>
      <c r="B29" s="35" t="str">
        <f>out!A29</f>
        <v>1FL</v>
      </c>
      <c r="C29" s="35" t="str">
        <f>out!B29</f>
        <v>B</v>
      </c>
      <c r="D29" s="35">
        <f>out!C29</f>
        <v>2</v>
      </c>
      <c r="E29" s="35">
        <f>out!D29</f>
        <v>3</v>
      </c>
      <c r="F29" s="35" t="str">
        <f>out!E29</f>
        <v>1G1x</v>
      </c>
      <c r="G29" s="35" t="str">
        <f>out!F29</f>
        <v>L</v>
      </c>
      <c r="H29" s="38">
        <f>out!G29</f>
        <v>7000</v>
      </c>
      <c r="I29" s="35">
        <f>out!H29</f>
        <v>250</v>
      </c>
      <c r="J29" s="35">
        <f>out!I29</f>
        <v>0</v>
      </c>
      <c r="K29" s="35">
        <f>out!J29</f>
        <v>0</v>
      </c>
      <c r="L29" s="35">
        <f>out!K29</f>
        <v>-16</v>
      </c>
      <c r="M29" s="35">
        <f>out!L29</f>
        <v>-176</v>
      </c>
      <c r="N29" s="35">
        <f>out!M29</f>
        <v>-113</v>
      </c>
      <c r="O29" s="35">
        <f>out!N29</f>
        <v>0</v>
      </c>
      <c r="P29" s="35">
        <f>out!O29</f>
        <v>0</v>
      </c>
      <c r="Q29" s="35">
        <f>out!P29</f>
        <v>43</v>
      </c>
      <c r="R29" s="35">
        <f>out!Q29</f>
        <v>163</v>
      </c>
      <c r="S29" s="38">
        <f>out!R29</f>
        <v>0</v>
      </c>
      <c r="T29" s="35">
        <f>out!S29</f>
        <v>122</v>
      </c>
      <c r="U29" s="38">
        <f>out!T29</f>
        <v>0</v>
      </c>
      <c r="V29" s="35">
        <f>out!U29</f>
        <v>104</v>
      </c>
    </row>
    <row r="30" spans="1:22">
      <c r="A30" s="36">
        <f t="shared" si="0"/>
        <v>30</v>
      </c>
      <c r="B30" s="35" t="str">
        <f>out!A30</f>
        <v>1FL</v>
      </c>
      <c r="C30" s="35">
        <f>out!B30</f>
        <v>1</v>
      </c>
      <c r="D30" s="35" t="str">
        <f>out!C30</f>
        <v>A</v>
      </c>
      <c r="E30" s="35" t="str">
        <f>out!D30</f>
        <v>B</v>
      </c>
      <c r="F30" s="35" t="str">
        <f>out!E30</f>
        <v>1G1y</v>
      </c>
      <c r="G30" s="35" t="str">
        <f>out!F30</f>
        <v>L</v>
      </c>
      <c r="H30" s="38">
        <f>out!G30</f>
        <v>7000</v>
      </c>
      <c r="I30" s="35">
        <f>out!H30</f>
        <v>33</v>
      </c>
      <c r="J30" s="35">
        <f>out!I30</f>
        <v>0</v>
      </c>
      <c r="K30" s="35">
        <f>out!J30</f>
        <v>0</v>
      </c>
      <c r="L30" s="35">
        <f>out!K30</f>
        <v>-110</v>
      </c>
      <c r="M30" s="35">
        <f>out!L30</f>
        <v>-153</v>
      </c>
      <c r="N30" s="35">
        <f>out!M30</f>
        <v>-110</v>
      </c>
      <c r="O30" s="35">
        <f>out!N30</f>
        <v>0</v>
      </c>
      <c r="P30" s="35">
        <f>out!O30</f>
        <v>0</v>
      </c>
      <c r="Q30" s="35">
        <f>out!P30</f>
        <v>33</v>
      </c>
      <c r="R30" s="35">
        <f>out!Q30</f>
        <v>97</v>
      </c>
      <c r="S30" s="38">
        <f>out!R30</f>
        <v>0</v>
      </c>
      <c r="T30" s="35">
        <f>out!S30</f>
        <v>56</v>
      </c>
      <c r="U30" s="38">
        <f>out!T30</f>
        <v>0</v>
      </c>
      <c r="V30" s="35">
        <f>out!U30</f>
        <v>97</v>
      </c>
    </row>
    <row r="31" spans="1:22">
      <c r="A31" s="36">
        <f t="shared" si="0"/>
        <v>31</v>
      </c>
      <c r="B31" s="35" t="str">
        <f>out!A31</f>
        <v>1FL</v>
      </c>
      <c r="C31" s="35">
        <f>out!B31</f>
        <v>2</v>
      </c>
      <c r="D31" s="35" t="str">
        <f>out!C31</f>
        <v>A</v>
      </c>
      <c r="E31" s="35" t="str">
        <f>out!D31</f>
        <v>B</v>
      </c>
      <c r="F31" s="35" t="str">
        <f>out!E31</f>
        <v>1G1y</v>
      </c>
      <c r="G31" s="35" t="str">
        <f>out!F31</f>
        <v>L</v>
      </c>
      <c r="H31" s="38">
        <f>out!G31</f>
        <v>7000</v>
      </c>
      <c r="I31" s="35">
        <f>out!H31</f>
        <v>40</v>
      </c>
      <c r="J31" s="35">
        <f>out!I31</f>
        <v>0</v>
      </c>
      <c r="K31" s="35">
        <f>out!J31</f>
        <v>0</v>
      </c>
      <c r="L31" s="35">
        <f>out!K31</f>
        <v>-169</v>
      </c>
      <c r="M31" s="35">
        <f>out!L31</f>
        <v>-233</v>
      </c>
      <c r="N31" s="35">
        <f>out!M31</f>
        <v>-169</v>
      </c>
      <c r="O31" s="35">
        <f>out!N31</f>
        <v>0</v>
      </c>
      <c r="P31" s="35">
        <f>out!O31</f>
        <v>0</v>
      </c>
      <c r="Q31" s="35">
        <f>out!P31</f>
        <v>40</v>
      </c>
      <c r="R31" s="35">
        <f>out!Q31</f>
        <v>137</v>
      </c>
      <c r="S31" s="38">
        <f>out!R31</f>
        <v>0</v>
      </c>
      <c r="T31" s="35">
        <f>out!S31</f>
        <v>83</v>
      </c>
      <c r="U31" s="38">
        <f>out!T31</f>
        <v>0</v>
      </c>
      <c r="V31" s="35">
        <f>out!U31</f>
        <v>137</v>
      </c>
    </row>
    <row r="32" spans="1:22">
      <c r="A32" s="36">
        <f t="shared" si="0"/>
        <v>32</v>
      </c>
      <c r="B32" s="35" t="str">
        <f>out!A32</f>
        <v>1FL</v>
      </c>
      <c r="C32" s="35">
        <f>out!B32</f>
        <v>3</v>
      </c>
      <c r="D32" s="35" t="str">
        <f>out!C32</f>
        <v>A</v>
      </c>
      <c r="E32" s="35" t="str">
        <f>out!D32</f>
        <v>B</v>
      </c>
      <c r="F32" s="35" t="str">
        <f>out!E32</f>
        <v>1G1y</v>
      </c>
      <c r="G32" s="35" t="str">
        <f>out!F32</f>
        <v>L</v>
      </c>
      <c r="H32" s="38">
        <f>out!G32</f>
        <v>7000</v>
      </c>
      <c r="I32" s="35">
        <f>out!H32</f>
        <v>33</v>
      </c>
      <c r="J32" s="35">
        <f>out!I32</f>
        <v>0</v>
      </c>
      <c r="K32" s="35">
        <f>out!J32</f>
        <v>0</v>
      </c>
      <c r="L32" s="35">
        <f>out!K32</f>
        <v>-110</v>
      </c>
      <c r="M32" s="35">
        <f>out!L32</f>
        <v>-153</v>
      </c>
      <c r="N32" s="35">
        <f>out!M32</f>
        <v>-110</v>
      </c>
      <c r="O32" s="35">
        <f>out!N32</f>
        <v>0</v>
      </c>
      <c r="P32" s="35">
        <f>out!O32</f>
        <v>0</v>
      </c>
      <c r="Q32" s="35">
        <f>out!P32</f>
        <v>33</v>
      </c>
      <c r="R32" s="35">
        <f>out!Q32</f>
        <v>97</v>
      </c>
      <c r="S32" s="38">
        <f>out!R32</f>
        <v>0</v>
      </c>
      <c r="T32" s="35">
        <f>out!S32</f>
        <v>56</v>
      </c>
      <c r="U32" s="38">
        <f>out!T32</f>
        <v>0</v>
      </c>
      <c r="V32" s="35">
        <f>out!U32</f>
        <v>97</v>
      </c>
    </row>
    <row r="33" spans="1:22">
      <c r="A33" s="36">
        <f t="shared" si="0"/>
        <v>33</v>
      </c>
      <c r="B33" s="35">
        <f>out!A33</f>
        <v>0</v>
      </c>
      <c r="C33" s="35">
        <f>out!B33</f>
        <v>0</v>
      </c>
      <c r="D33" s="35">
        <f>out!C33</f>
        <v>0</v>
      </c>
      <c r="E33" s="35">
        <f>out!D33</f>
        <v>0</v>
      </c>
      <c r="F33" s="35">
        <f>out!E33</f>
        <v>0</v>
      </c>
      <c r="G33" s="35">
        <f>out!F33</f>
        <v>0</v>
      </c>
      <c r="H33" s="38">
        <f>out!G33</f>
        <v>0</v>
      </c>
      <c r="I33" s="35">
        <f>out!H33</f>
        <v>0</v>
      </c>
      <c r="J33" s="35">
        <f>out!I33</f>
        <v>0</v>
      </c>
      <c r="K33" s="35">
        <f>out!J33</f>
        <v>0</v>
      </c>
      <c r="L33" s="35">
        <f>out!K33</f>
        <v>0</v>
      </c>
      <c r="M33" s="35">
        <f>out!L33</f>
        <v>0</v>
      </c>
      <c r="N33" s="35">
        <f>out!M33</f>
        <v>0</v>
      </c>
      <c r="O33" s="35">
        <f>out!N33</f>
        <v>0</v>
      </c>
      <c r="P33" s="35">
        <f>out!O33</f>
        <v>0</v>
      </c>
      <c r="Q33" s="35">
        <f>out!P33</f>
        <v>0</v>
      </c>
      <c r="R33" s="35">
        <f>out!Q33</f>
        <v>0</v>
      </c>
      <c r="S33" s="38">
        <f>out!R33</f>
        <v>0</v>
      </c>
      <c r="T33" s="35">
        <f>out!S33</f>
        <v>0</v>
      </c>
      <c r="U33" s="38">
        <f>out!T33</f>
        <v>0</v>
      </c>
      <c r="V33" s="35">
        <f>out!U33</f>
        <v>0</v>
      </c>
    </row>
    <row r="34" spans="1:22">
      <c r="A34" s="36">
        <f t="shared" si="0"/>
        <v>34</v>
      </c>
      <c r="B34" s="35">
        <f>out!A34</f>
        <v>0</v>
      </c>
      <c r="C34" s="35">
        <f>out!B34</f>
        <v>0</v>
      </c>
      <c r="D34" s="35">
        <f>out!C34</f>
        <v>0</v>
      </c>
      <c r="E34" s="35">
        <f>out!D34</f>
        <v>0</v>
      </c>
      <c r="F34" s="35">
        <f>out!E34</f>
        <v>0</v>
      </c>
      <c r="G34" s="35">
        <f>out!F34</f>
        <v>0</v>
      </c>
      <c r="H34" s="38">
        <f>out!G34</f>
        <v>0</v>
      </c>
      <c r="I34" s="35">
        <f>out!H34</f>
        <v>0</v>
      </c>
      <c r="J34" s="35">
        <f>out!I34</f>
        <v>0</v>
      </c>
      <c r="K34" s="35">
        <f>out!J34</f>
        <v>0</v>
      </c>
      <c r="L34" s="35">
        <f>out!K34</f>
        <v>0</v>
      </c>
      <c r="M34" s="35">
        <f>out!L34</f>
        <v>0</v>
      </c>
      <c r="N34" s="35">
        <f>out!M34</f>
        <v>0</v>
      </c>
      <c r="O34" s="35">
        <f>out!N34</f>
        <v>0</v>
      </c>
      <c r="P34" s="35">
        <f>out!O34</f>
        <v>0</v>
      </c>
      <c r="Q34" s="35">
        <f>out!P34</f>
        <v>0</v>
      </c>
      <c r="R34" s="35">
        <f>out!Q34</f>
        <v>0</v>
      </c>
      <c r="S34" s="38">
        <f>out!R34</f>
        <v>0</v>
      </c>
      <c r="T34" s="35">
        <f>out!S34</f>
        <v>0</v>
      </c>
      <c r="U34" s="38">
        <f>out!T34</f>
        <v>0</v>
      </c>
      <c r="V34" s="35">
        <f>out!U34</f>
        <v>0</v>
      </c>
    </row>
    <row r="35" spans="1:22">
      <c r="A35" s="36">
        <f t="shared" si="0"/>
        <v>35</v>
      </c>
      <c r="B35" s="35">
        <f>out!A35</f>
        <v>0</v>
      </c>
      <c r="C35" s="35">
        <f>out!B35</f>
        <v>0</v>
      </c>
      <c r="D35" s="35">
        <f>out!C35</f>
        <v>0</v>
      </c>
      <c r="E35" s="35">
        <f>out!D35</f>
        <v>0</v>
      </c>
      <c r="F35" s="35">
        <f>out!E35</f>
        <v>0</v>
      </c>
      <c r="G35" s="35">
        <f>out!F35</f>
        <v>0</v>
      </c>
      <c r="H35" s="38">
        <f>out!G35</f>
        <v>0</v>
      </c>
      <c r="I35" s="35">
        <f>out!H35</f>
        <v>0</v>
      </c>
      <c r="J35" s="35">
        <f>out!I35</f>
        <v>0</v>
      </c>
      <c r="K35" s="35">
        <f>out!J35</f>
        <v>0</v>
      </c>
      <c r="L35" s="35">
        <f>out!K35</f>
        <v>0</v>
      </c>
      <c r="M35" s="35">
        <f>out!L35</f>
        <v>0</v>
      </c>
      <c r="N35" s="35">
        <f>out!M35</f>
        <v>0</v>
      </c>
      <c r="O35" s="35">
        <f>out!N35</f>
        <v>0</v>
      </c>
      <c r="P35" s="35">
        <f>out!O35</f>
        <v>0</v>
      </c>
      <c r="Q35" s="35">
        <f>out!P35</f>
        <v>0</v>
      </c>
      <c r="R35" s="35">
        <f>out!Q35</f>
        <v>0</v>
      </c>
      <c r="S35" s="38">
        <f>out!R35</f>
        <v>0</v>
      </c>
      <c r="T35" s="35">
        <f>out!S35</f>
        <v>0</v>
      </c>
      <c r="U35" s="38">
        <f>out!T35</f>
        <v>0</v>
      </c>
      <c r="V35" s="35">
        <f>out!U35</f>
        <v>0</v>
      </c>
    </row>
    <row r="36" spans="1:22">
      <c r="A36" s="36">
        <f t="shared" si="0"/>
        <v>36</v>
      </c>
      <c r="B36" s="35">
        <f>out!A36</f>
        <v>0</v>
      </c>
      <c r="C36" s="35">
        <f>out!B36</f>
        <v>0</v>
      </c>
      <c r="D36" s="35">
        <f>out!C36</f>
        <v>0</v>
      </c>
      <c r="E36" s="35">
        <f>out!D36</f>
        <v>0</v>
      </c>
      <c r="F36" s="35">
        <f>out!E36</f>
        <v>0</v>
      </c>
      <c r="G36" s="35">
        <f>out!F36</f>
        <v>0</v>
      </c>
      <c r="H36" s="38">
        <f>out!G36</f>
        <v>0</v>
      </c>
      <c r="I36" s="35">
        <f>out!H36</f>
        <v>0</v>
      </c>
      <c r="J36" s="35">
        <f>out!I36</f>
        <v>0</v>
      </c>
      <c r="K36" s="35">
        <f>out!J36</f>
        <v>0</v>
      </c>
      <c r="L36" s="35">
        <f>out!K36</f>
        <v>0</v>
      </c>
      <c r="M36" s="35">
        <f>out!L36</f>
        <v>0</v>
      </c>
      <c r="N36" s="35">
        <f>out!M36</f>
        <v>0</v>
      </c>
      <c r="O36" s="35">
        <f>out!N36</f>
        <v>0</v>
      </c>
      <c r="P36" s="35">
        <f>out!O36</f>
        <v>0</v>
      </c>
      <c r="Q36" s="35">
        <f>out!P36</f>
        <v>0</v>
      </c>
      <c r="R36" s="35">
        <f>out!Q36</f>
        <v>0</v>
      </c>
      <c r="S36" s="38">
        <f>out!R36</f>
        <v>0</v>
      </c>
      <c r="T36" s="35">
        <f>out!S36</f>
        <v>0</v>
      </c>
      <c r="U36" s="38">
        <f>out!T36</f>
        <v>0</v>
      </c>
      <c r="V36" s="35">
        <f>out!U36</f>
        <v>0</v>
      </c>
    </row>
    <row r="37" spans="1:22">
      <c r="A37" s="36">
        <f t="shared" si="0"/>
        <v>37</v>
      </c>
      <c r="B37" s="35">
        <f>out!A37</f>
        <v>0</v>
      </c>
      <c r="C37" s="35">
        <f>out!B37</f>
        <v>0</v>
      </c>
      <c r="D37" s="35">
        <f>out!C37</f>
        <v>0</v>
      </c>
      <c r="E37" s="35">
        <f>out!D37</f>
        <v>0</v>
      </c>
      <c r="F37" s="35">
        <f>out!E37</f>
        <v>0</v>
      </c>
      <c r="G37" s="35">
        <f>out!F37</f>
        <v>0</v>
      </c>
      <c r="H37" s="38">
        <f>out!G37</f>
        <v>0</v>
      </c>
      <c r="I37" s="35">
        <f>out!H37</f>
        <v>0</v>
      </c>
      <c r="J37" s="35">
        <f>out!I37</f>
        <v>0</v>
      </c>
      <c r="K37" s="35">
        <f>out!J37</f>
        <v>0</v>
      </c>
      <c r="L37" s="35">
        <f>out!K37</f>
        <v>0</v>
      </c>
      <c r="M37" s="35">
        <f>out!L37</f>
        <v>0</v>
      </c>
      <c r="N37" s="35">
        <f>out!M37</f>
        <v>0</v>
      </c>
      <c r="O37" s="35">
        <f>out!N37</f>
        <v>0</v>
      </c>
      <c r="P37" s="35">
        <f>out!O37</f>
        <v>0</v>
      </c>
      <c r="Q37" s="35">
        <f>out!P37</f>
        <v>0</v>
      </c>
      <c r="R37" s="35">
        <f>out!Q37</f>
        <v>0</v>
      </c>
      <c r="S37" s="38">
        <f>out!R37</f>
        <v>0</v>
      </c>
      <c r="T37" s="35">
        <f>out!S37</f>
        <v>0</v>
      </c>
      <c r="U37" s="38">
        <f>out!T37</f>
        <v>0</v>
      </c>
      <c r="V37" s="35">
        <f>out!U37</f>
        <v>0</v>
      </c>
    </row>
    <row r="38" spans="1:22">
      <c r="A38" s="36">
        <f t="shared" si="0"/>
        <v>38</v>
      </c>
      <c r="B38" s="35">
        <f>out!A38</f>
        <v>0</v>
      </c>
      <c r="C38" s="35">
        <f>out!B38</f>
        <v>0</v>
      </c>
      <c r="D38" s="35">
        <f>out!C38</f>
        <v>0</v>
      </c>
      <c r="E38" s="35">
        <f>out!D38</f>
        <v>0</v>
      </c>
      <c r="F38" s="35">
        <f>out!E38</f>
        <v>0</v>
      </c>
      <c r="G38" s="35">
        <f>out!F38</f>
        <v>0</v>
      </c>
      <c r="H38" s="38">
        <f>out!G38</f>
        <v>0</v>
      </c>
      <c r="I38" s="35">
        <f>out!H38</f>
        <v>0</v>
      </c>
      <c r="J38" s="35">
        <f>out!I38</f>
        <v>0</v>
      </c>
      <c r="K38" s="35">
        <f>out!J38</f>
        <v>0</v>
      </c>
      <c r="L38" s="35">
        <f>out!K38</f>
        <v>0</v>
      </c>
      <c r="M38" s="35">
        <f>out!L38</f>
        <v>0</v>
      </c>
      <c r="N38" s="35">
        <f>out!M38</f>
        <v>0</v>
      </c>
      <c r="O38" s="35">
        <f>out!N38</f>
        <v>0</v>
      </c>
      <c r="P38" s="35">
        <f>out!O38</f>
        <v>0</v>
      </c>
      <c r="Q38" s="35">
        <f>out!P38</f>
        <v>0</v>
      </c>
      <c r="R38" s="35">
        <f>out!Q38</f>
        <v>0</v>
      </c>
      <c r="S38" s="38">
        <f>out!R38</f>
        <v>0</v>
      </c>
      <c r="T38" s="35">
        <f>out!S38</f>
        <v>0</v>
      </c>
      <c r="U38" s="38">
        <f>out!T38</f>
        <v>0</v>
      </c>
      <c r="V38" s="35">
        <f>out!U38</f>
        <v>0</v>
      </c>
    </row>
    <row r="39" spans="1:22">
      <c r="A39" s="36">
        <f t="shared" si="0"/>
        <v>39</v>
      </c>
      <c r="B39" s="35">
        <f>out!A39</f>
        <v>0</v>
      </c>
      <c r="C39" s="35">
        <f>out!B39</f>
        <v>0</v>
      </c>
      <c r="D39" s="35">
        <f>out!C39</f>
        <v>0</v>
      </c>
      <c r="E39" s="35">
        <f>out!D39</f>
        <v>0</v>
      </c>
      <c r="F39" s="35">
        <f>out!E39</f>
        <v>0</v>
      </c>
      <c r="G39" s="35">
        <f>out!F39</f>
        <v>0</v>
      </c>
      <c r="H39" s="38">
        <f>out!G39</f>
        <v>0</v>
      </c>
      <c r="I39" s="35">
        <f>out!H39</f>
        <v>0</v>
      </c>
      <c r="J39" s="35">
        <f>out!I39</f>
        <v>0</v>
      </c>
      <c r="K39" s="35">
        <f>out!J39</f>
        <v>0</v>
      </c>
      <c r="L39" s="35">
        <f>out!K39</f>
        <v>0</v>
      </c>
      <c r="M39" s="35">
        <f>out!L39</f>
        <v>0</v>
      </c>
      <c r="N39" s="35">
        <f>out!M39</f>
        <v>0</v>
      </c>
      <c r="O39" s="35">
        <f>out!N39</f>
        <v>0</v>
      </c>
      <c r="P39" s="35">
        <f>out!O39</f>
        <v>0</v>
      </c>
      <c r="Q39" s="35">
        <f>out!P39</f>
        <v>0</v>
      </c>
      <c r="R39" s="35">
        <f>out!Q39</f>
        <v>0</v>
      </c>
      <c r="S39" s="38">
        <f>out!R39</f>
        <v>0</v>
      </c>
      <c r="T39" s="35">
        <f>out!S39</f>
        <v>0</v>
      </c>
      <c r="U39" s="38">
        <f>out!T39</f>
        <v>0</v>
      </c>
      <c r="V39" s="35">
        <f>out!U39</f>
        <v>0</v>
      </c>
    </row>
    <row r="40" spans="1:22">
      <c r="A40" s="36">
        <f t="shared" si="0"/>
        <v>40</v>
      </c>
      <c r="B40" s="35">
        <f>out!A40</f>
        <v>0</v>
      </c>
      <c r="C40" s="35">
        <f>out!B40</f>
        <v>0</v>
      </c>
      <c r="D40" s="35">
        <f>out!C40</f>
        <v>0</v>
      </c>
      <c r="E40" s="35">
        <f>out!D40</f>
        <v>0</v>
      </c>
      <c r="F40" s="35">
        <f>out!E40</f>
        <v>0</v>
      </c>
      <c r="G40" s="35">
        <f>out!F40</f>
        <v>0</v>
      </c>
      <c r="H40" s="38">
        <f>out!G40</f>
        <v>0</v>
      </c>
      <c r="I40" s="35">
        <f>out!H40</f>
        <v>0</v>
      </c>
      <c r="J40" s="35">
        <f>out!I40</f>
        <v>0</v>
      </c>
      <c r="K40" s="35">
        <f>out!J40</f>
        <v>0</v>
      </c>
      <c r="L40" s="35">
        <f>out!K40</f>
        <v>0</v>
      </c>
      <c r="M40" s="35">
        <f>out!L40</f>
        <v>0</v>
      </c>
      <c r="N40" s="35">
        <f>out!M40</f>
        <v>0</v>
      </c>
      <c r="O40" s="35">
        <f>out!N40</f>
        <v>0</v>
      </c>
      <c r="P40" s="35">
        <f>out!O40</f>
        <v>0</v>
      </c>
      <c r="Q40" s="35">
        <f>out!P40</f>
        <v>0</v>
      </c>
      <c r="R40" s="35">
        <f>out!Q40</f>
        <v>0</v>
      </c>
      <c r="S40" s="38">
        <f>out!R40</f>
        <v>0</v>
      </c>
      <c r="T40" s="35">
        <f>out!S40</f>
        <v>0</v>
      </c>
      <c r="U40" s="38">
        <f>out!T40</f>
        <v>0</v>
      </c>
      <c r="V40" s="35">
        <f>out!U40</f>
        <v>0</v>
      </c>
    </row>
    <row r="41" spans="1:22">
      <c r="A41" s="36">
        <f t="shared" si="0"/>
        <v>41</v>
      </c>
      <c r="B41" s="35">
        <f>out!A41</f>
        <v>0</v>
      </c>
      <c r="C41" s="35">
        <f>out!B41</f>
        <v>0</v>
      </c>
      <c r="D41" s="35">
        <f>out!C41</f>
        <v>0</v>
      </c>
      <c r="E41" s="35">
        <f>out!D41</f>
        <v>0</v>
      </c>
      <c r="F41" s="35">
        <f>out!E41</f>
        <v>0</v>
      </c>
      <c r="G41" s="35">
        <f>out!F41</f>
        <v>0</v>
      </c>
      <c r="H41" s="38">
        <f>out!G41</f>
        <v>0</v>
      </c>
      <c r="I41" s="35">
        <f>out!H41</f>
        <v>0</v>
      </c>
      <c r="J41" s="35">
        <f>out!I41</f>
        <v>0</v>
      </c>
      <c r="K41" s="35">
        <f>out!J41</f>
        <v>0</v>
      </c>
      <c r="L41" s="35">
        <f>out!K41</f>
        <v>0</v>
      </c>
      <c r="M41" s="35">
        <f>out!L41</f>
        <v>0</v>
      </c>
      <c r="N41" s="35">
        <f>out!M41</f>
        <v>0</v>
      </c>
      <c r="O41" s="35">
        <f>out!N41</f>
        <v>0</v>
      </c>
      <c r="P41" s="35">
        <f>out!O41</f>
        <v>0</v>
      </c>
      <c r="Q41" s="35">
        <f>out!P41</f>
        <v>0</v>
      </c>
      <c r="R41" s="35">
        <f>out!Q41</f>
        <v>0</v>
      </c>
      <c r="S41" s="38">
        <f>out!R41</f>
        <v>0</v>
      </c>
      <c r="T41" s="35">
        <f>out!S41</f>
        <v>0</v>
      </c>
      <c r="U41" s="38">
        <f>out!T41</f>
        <v>0</v>
      </c>
      <c r="V41" s="35">
        <f>out!U41</f>
        <v>0</v>
      </c>
    </row>
    <row r="42" spans="1:22">
      <c r="A42" s="36">
        <f t="shared" si="0"/>
        <v>42</v>
      </c>
      <c r="B42" s="35">
        <f>out!A42</f>
        <v>0</v>
      </c>
      <c r="C42" s="35">
        <f>out!B42</f>
        <v>0</v>
      </c>
      <c r="D42" s="35">
        <f>out!C42</f>
        <v>0</v>
      </c>
      <c r="E42" s="35">
        <f>out!D42</f>
        <v>0</v>
      </c>
      <c r="F42" s="35">
        <f>out!E42</f>
        <v>0</v>
      </c>
      <c r="G42" s="35">
        <f>out!F42</f>
        <v>0</v>
      </c>
      <c r="H42" s="38">
        <f>out!G42</f>
        <v>0</v>
      </c>
      <c r="I42" s="35">
        <f>out!H42</f>
        <v>0</v>
      </c>
      <c r="J42" s="35">
        <f>out!I42</f>
        <v>0</v>
      </c>
      <c r="K42" s="35">
        <f>out!J42</f>
        <v>0</v>
      </c>
      <c r="L42" s="35">
        <f>out!K42</f>
        <v>0</v>
      </c>
      <c r="M42" s="35">
        <f>out!L42</f>
        <v>0</v>
      </c>
      <c r="N42" s="35">
        <f>out!M42</f>
        <v>0</v>
      </c>
      <c r="O42" s="35">
        <f>out!N42</f>
        <v>0</v>
      </c>
      <c r="P42" s="35">
        <f>out!O42</f>
        <v>0</v>
      </c>
      <c r="Q42" s="35">
        <f>out!P42</f>
        <v>0</v>
      </c>
      <c r="R42" s="35">
        <f>out!Q42</f>
        <v>0</v>
      </c>
      <c r="S42" s="38">
        <f>out!R42</f>
        <v>0</v>
      </c>
      <c r="T42" s="35">
        <f>out!S42</f>
        <v>0</v>
      </c>
      <c r="U42" s="38">
        <f>out!T42</f>
        <v>0</v>
      </c>
      <c r="V42" s="35">
        <f>out!U42</f>
        <v>0</v>
      </c>
    </row>
    <row r="43" spans="1:22">
      <c r="A43" s="36">
        <f t="shared" si="0"/>
        <v>43</v>
      </c>
      <c r="B43" s="35">
        <f>out!A43</f>
        <v>0</v>
      </c>
      <c r="C43" s="35">
        <f>out!B43</f>
        <v>0</v>
      </c>
      <c r="D43" s="35">
        <f>out!C43</f>
        <v>0</v>
      </c>
      <c r="E43" s="35">
        <f>out!D43</f>
        <v>0</v>
      </c>
      <c r="F43" s="35">
        <f>out!E43</f>
        <v>0</v>
      </c>
      <c r="G43" s="35">
        <f>out!F43</f>
        <v>0</v>
      </c>
      <c r="H43" s="38">
        <f>out!G43</f>
        <v>0</v>
      </c>
      <c r="I43" s="35">
        <f>out!H43</f>
        <v>0</v>
      </c>
      <c r="J43" s="35">
        <f>out!I43</f>
        <v>0</v>
      </c>
      <c r="K43" s="35">
        <f>out!J43</f>
        <v>0</v>
      </c>
      <c r="L43" s="35">
        <f>out!K43</f>
        <v>0</v>
      </c>
      <c r="M43" s="35">
        <f>out!L43</f>
        <v>0</v>
      </c>
      <c r="N43" s="35">
        <f>out!M43</f>
        <v>0</v>
      </c>
      <c r="O43" s="35">
        <f>out!N43</f>
        <v>0</v>
      </c>
      <c r="P43" s="35">
        <f>out!O43</f>
        <v>0</v>
      </c>
      <c r="Q43" s="35">
        <f>out!P43</f>
        <v>0</v>
      </c>
      <c r="R43" s="35">
        <f>out!Q43</f>
        <v>0</v>
      </c>
      <c r="S43" s="38">
        <f>out!R43</f>
        <v>0</v>
      </c>
      <c r="T43" s="35">
        <f>out!S43</f>
        <v>0</v>
      </c>
      <c r="U43" s="38">
        <f>out!T43</f>
        <v>0</v>
      </c>
      <c r="V43" s="35">
        <f>out!U43</f>
        <v>0</v>
      </c>
    </row>
    <row r="44" spans="1:22">
      <c r="A44" s="36">
        <f t="shared" si="0"/>
        <v>44</v>
      </c>
      <c r="B44" s="35">
        <f>out!A44</f>
        <v>0</v>
      </c>
      <c r="C44" s="35">
        <f>out!B44</f>
        <v>0</v>
      </c>
      <c r="D44" s="35">
        <f>out!C44</f>
        <v>0</v>
      </c>
      <c r="E44" s="35">
        <f>out!D44</f>
        <v>0</v>
      </c>
      <c r="F44" s="35">
        <f>out!E44</f>
        <v>0</v>
      </c>
      <c r="G44" s="35">
        <f>out!F44</f>
        <v>0</v>
      </c>
      <c r="H44" s="38">
        <f>out!G44</f>
        <v>0</v>
      </c>
      <c r="I44" s="35">
        <f>out!H44</f>
        <v>0</v>
      </c>
      <c r="J44" s="35">
        <f>out!I44</f>
        <v>0</v>
      </c>
      <c r="K44" s="35">
        <f>out!J44</f>
        <v>0</v>
      </c>
      <c r="L44" s="35">
        <f>out!K44</f>
        <v>0</v>
      </c>
      <c r="M44" s="35">
        <f>out!L44</f>
        <v>0</v>
      </c>
      <c r="N44" s="35">
        <f>out!M44</f>
        <v>0</v>
      </c>
      <c r="O44" s="35">
        <f>out!N44</f>
        <v>0</v>
      </c>
      <c r="P44" s="35">
        <f>out!O44</f>
        <v>0</v>
      </c>
      <c r="Q44" s="35">
        <f>out!P44</f>
        <v>0</v>
      </c>
      <c r="R44" s="35">
        <f>out!Q44</f>
        <v>0</v>
      </c>
      <c r="S44" s="38">
        <f>out!R44</f>
        <v>0</v>
      </c>
      <c r="T44" s="35">
        <f>out!S44</f>
        <v>0</v>
      </c>
      <c r="U44" s="38">
        <f>out!T44</f>
        <v>0</v>
      </c>
      <c r="V44" s="35">
        <f>out!U44</f>
        <v>0</v>
      </c>
    </row>
    <row r="45" spans="1:22">
      <c r="A45" s="36">
        <f t="shared" si="0"/>
        <v>45</v>
      </c>
      <c r="B45" s="35">
        <f>out!A45</f>
        <v>0</v>
      </c>
      <c r="C45" s="35">
        <f>out!B45</f>
        <v>0</v>
      </c>
      <c r="D45" s="35">
        <f>out!C45</f>
        <v>0</v>
      </c>
      <c r="E45" s="35">
        <f>out!D45</f>
        <v>0</v>
      </c>
      <c r="F45" s="35">
        <f>out!E45</f>
        <v>0</v>
      </c>
      <c r="G45" s="35">
        <f>out!F45</f>
        <v>0</v>
      </c>
      <c r="H45" s="38">
        <f>out!G45</f>
        <v>0</v>
      </c>
      <c r="I45" s="35">
        <f>out!H45</f>
        <v>0</v>
      </c>
      <c r="J45" s="35">
        <f>out!I45</f>
        <v>0</v>
      </c>
      <c r="K45" s="35">
        <f>out!J45</f>
        <v>0</v>
      </c>
      <c r="L45" s="35">
        <f>out!K45</f>
        <v>0</v>
      </c>
      <c r="M45" s="35">
        <f>out!L45</f>
        <v>0</v>
      </c>
      <c r="N45" s="35">
        <f>out!M45</f>
        <v>0</v>
      </c>
      <c r="O45" s="35">
        <f>out!N45</f>
        <v>0</v>
      </c>
      <c r="P45" s="35">
        <f>out!O45</f>
        <v>0</v>
      </c>
      <c r="Q45" s="35">
        <f>out!P45</f>
        <v>0</v>
      </c>
      <c r="R45" s="35">
        <f>out!Q45</f>
        <v>0</v>
      </c>
      <c r="S45" s="38">
        <f>out!R45</f>
        <v>0</v>
      </c>
      <c r="T45" s="35">
        <f>out!S45</f>
        <v>0</v>
      </c>
      <c r="U45" s="38">
        <f>out!T45</f>
        <v>0</v>
      </c>
      <c r="V45" s="35">
        <f>out!U45</f>
        <v>0</v>
      </c>
    </row>
    <row r="46" spans="1:22">
      <c r="A46" s="36">
        <f t="shared" si="0"/>
        <v>46</v>
      </c>
      <c r="B46" s="35">
        <f>out!A46</f>
        <v>0</v>
      </c>
      <c r="C46" s="35">
        <f>out!B46</f>
        <v>0</v>
      </c>
      <c r="D46" s="35">
        <f>out!C46</f>
        <v>0</v>
      </c>
      <c r="E46" s="35">
        <f>out!D46</f>
        <v>0</v>
      </c>
      <c r="F46" s="35">
        <f>out!E46</f>
        <v>0</v>
      </c>
      <c r="G46" s="35">
        <f>out!F46</f>
        <v>0</v>
      </c>
      <c r="H46" s="38">
        <f>out!G46</f>
        <v>0</v>
      </c>
      <c r="I46" s="35">
        <f>out!H46</f>
        <v>0</v>
      </c>
      <c r="J46" s="35">
        <f>out!I46</f>
        <v>0</v>
      </c>
      <c r="K46" s="35">
        <f>out!J46</f>
        <v>0</v>
      </c>
      <c r="L46" s="35">
        <f>out!K46</f>
        <v>0</v>
      </c>
      <c r="M46" s="35">
        <f>out!L46</f>
        <v>0</v>
      </c>
      <c r="N46" s="35">
        <f>out!M46</f>
        <v>0</v>
      </c>
      <c r="O46" s="35">
        <f>out!N46</f>
        <v>0</v>
      </c>
      <c r="P46" s="35">
        <f>out!O46</f>
        <v>0</v>
      </c>
      <c r="Q46" s="35">
        <f>out!P46</f>
        <v>0</v>
      </c>
      <c r="R46" s="35">
        <f>out!Q46</f>
        <v>0</v>
      </c>
      <c r="S46" s="38">
        <f>out!R46</f>
        <v>0</v>
      </c>
      <c r="T46" s="35">
        <f>out!S46</f>
        <v>0</v>
      </c>
      <c r="U46" s="38">
        <f>out!T46</f>
        <v>0</v>
      </c>
      <c r="V46" s="35">
        <f>out!U46</f>
        <v>0</v>
      </c>
    </row>
    <row r="47" spans="1:22">
      <c r="A47" s="36">
        <f t="shared" si="0"/>
        <v>47</v>
      </c>
      <c r="B47" s="35">
        <f>out!A47</f>
        <v>0</v>
      </c>
      <c r="C47" s="35">
        <f>out!B47</f>
        <v>0</v>
      </c>
      <c r="D47" s="35">
        <f>out!C47</f>
        <v>0</v>
      </c>
      <c r="E47" s="35">
        <f>out!D47</f>
        <v>0</v>
      </c>
      <c r="F47" s="35">
        <f>out!E47</f>
        <v>0</v>
      </c>
      <c r="G47" s="35">
        <f>out!F47</f>
        <v>0</v>
      </c>
      <c r="H47" s="38">
        <f>out!G47</f>
        <v>0</v>
      </c>
      <c r="I47" s="35">
        <f>out!H47</f>
        <v>0</v>
      </c>
      <c r="J47" s="35">
        <f>out!I47</f>
        <v>0</v>
      </c>
      <c r="K47" s="35">
        <f>out!J47</f>
        <v>0</v>
      </c>
      <c r="L47" s="35">
        <f>out!K47</f>
        <v>0</v>
      </c>
      <c r="M47" s="35">
        <f>out!L47</f>
        <v>0</v>
      </c>
      <c r="N47" s="35">
        <f>out!M47</f>
        <v>0</v>
      </c>
      <c r="O47" s="35">
        <f>out!N47</f>
        <v>0</v>
      </c>
      <c r="P47" s="35">
        <f>out!O47</f>
        <v>0</v>
      </c>
      <c r="Q47" s="35">
        <f>out!P47</f>
        <v>0</v>
      </c>
      <c r="R47" s="35">
        <f>out!Q47</f>
        <v>0</v>
      </c>
      <c r="S47" s="38">
        <f>out!R47</f>
        <v>0</v>
      </c>
      <c r="T47" s="35">
        <f>out!S47</f>
        <v>0</v>
      </c>
      <c r="U47" s="38">
        <f>out!T47</f>
        <v>0</v>
      </c>
      <c r="V47" s="35">
        <f>out!U47</f>
        <v>0</v>
      </c>
    </row>
    <row r="48" spans="1:22">
      <c r="A48" s="36">
        <f t="shared" si="0"/>
        <v>48</v>
      </c>
      <c r="B48" s="35">
        <f>out!A48</f>
        <v>0</v>
      </c>
      <c r="C48" s="35">
        <f>out!B48</f>
        <v>0</v>
      </c>
      <c r="D48" s="35">
        <f>out!C48</f>
        <v>0</v>
      </c>
      <c r="E48" s="35">
        <f>out!D48</f>
        <v>0</v>
      </c>
      <c r="F48" s="35">
        <f>out!E48</f>
        <v>0</v>
      </c>
      <c r="G48" s="35">
        <f>out!F48</f>
        <v>0</v>
      </c>
      <c r="H48" s="38">
        <f>out!G48</f>
        <v>0</v>
      </c>
      <c r="I48" s="35">
        <f>out!H48</f>
        <v>0</v>
      </c>
      <c r="J48" s="35">
        <f>out!I48</f>
        <v>0</v>
      </c>
      <c r="K48" s="35">
        <f>out!J48</f>
        <v>0</v>
      </c>
      <c r="L48" s="35">
        <f>out!K48</f>
        <v>0</v>
      </c>
      <c r="M48" s="35">
        <f>out!L48</f>
        <v>0</v>
      </c>
      <c r="N48" s="35">
        <f>out!M48</f>
        <v>0</v>
      </c>
      <c r="O48" s="35">
        <f>out!N48</f>
        <v>0</v>
      </c>
      <c r="P48" s="35">
        <f>out!O48</f>
        <v>0</v>
      </c>
      <c r="Q48" s="35">
        <f>out!P48</f>
        <v>0</v>
      </c>
      <c r="R48" s="35">
        <f>out!Q48</f>
        <v>0</v>
      </c>
      <c r="S48" s="38">
        <f>out!R48</f>
        <v>0</v>
      </c>
      <c r="T48" s="35">
        <f>out!S48</f>
        <v>0</v>
      </c>
      <c r="U48" s="38">
        <f>out!T48</f>
        <v>0</v>
      </c>
      <c r="V48" s="35">
        <f>out!U48</f>
        <v>0</v>
      </c>
    </row>
    <row r="49" spans="1:22">
      <c r="A49" s="36">
        <f t="shared" si="0"/>
        <v>49</v>
      </c>
      <c r="B49" s="35">
        <f>out!A49</f>
        <v>0</v>
      </c>
      <c r="C49" s="35">
        <f>out!B49</f>
        <v>0</v>
      </c>
      <c r="D49" s="35">
        <f>out!C49</f>
        <v>0</v>
      </c>
      <c r="E49" s="35">
        <f>out!D49</f>
        <v>0</v>
      </c>
      <c r="F49" s="35">
        <f>out!E49</f>
        <v>0</v>
      </c>
      <c r="G49" s="35">
        <f>out!F49</f>
        <v>0</v>
      </c>
      <c r="H49" s="38">
        <f>out!G49</f>
        <v>0</v>
      </c>
      <c r="I49" s="35">
        <f>out!H49</f>
        <v>0</v>
      </c>
      <c r="J49" s="35">
        <f>out!I49</f>
        <v>0</v>
      </c>
      <c r="K49" s="35">
        <f>out!J49</f>
        <v>0</v>
      </c>
      <c r="L49" s="35">
        <f>out!K49</f>
        <v>0</v>
      </c>
      <c r="M49" s="35">
        <f>out!L49</f>
        <v>0</v>
      </c>
      <c r="N49" s="35">
        <f>out!M49</f>
        <v>0</v>
      </c>
      <c r="O49" s="35">
        <f>out!N49</f>
        <v>0</v>
      </c>
      <c r="P49" s="35">
        <f>out!O49</f>
        <v>0</v>
      </c>
      <c r="Q49" s="35">
        <f>out!P49</f>
        <v>0</v>
      </c>
      <c r="R49" s="35">
        <f>out!Q49</f>
        <v>0</v>
      </c>
      <c r="S49" s="38">
        <f>out!R49</f>
        <v>0</v>
      </c>
      <c r="T49" s="35">
        <f>out!S49</f>
        <v>0</v>
      </c>
      <c r="U49" s="38">
        <f>out!T49</f>
        <v>0</v>
      </c>
      <c r="V49" s="35">
        <f>out!U49</f>
        <v>0</v>
      </c>
    </row>
    <row r="50" spans="1:22">
      <c r="A50" s="36">
        <f t="shared" si="0"/>
        <v>50</v>
      </c>
      <c r="B50" s="35">
        <f>out!A50</f>
        <v>0</v>
      </c>
      <c r="C50" s="35">
        <f>out!B50</f>
        <v>0</v>
      </c>
      <c r="D50" s="35">
        <f>out!C50</f>
        <v>0</v>
      </c>
      <c r="E50" s="35">
        <f>out!D50</f>
        <v>0</v>
      </c>
      <c r="F50" s="35">
        <f>out!E50</f>
        <v>0</v>
      </c>
      <c r="G50" s="35">
        <f>out!F50</f>
        <v>0</v>
      </c>
      <c r="H50" s="38">
        <f>out!G50</f>
        <v>0</v>
      </c>
      <c r="I50" s="35">
        <f>out!H50</f>
        <v>0</v>
      </c>
      <c r="J50" s="35">
        <f>out!I50</f>
        <v>0</v>
      </c>
      <c r="K50" s="35">
        <f>out!J50</f>
        <v>0</v>
      </c>
      <c r="L50" s="35">
        <f>out!K50</f>
        <v>0</v>
      </c>
      <c r="M50" s="35">
        <f>out!L50</f>
        <v>0</v>
      </c>
      <c r="N50" s="35">
        <f>out!M50</f>
        <v>0</v>
      </c>
      <c r="O50" s="35">
        <f>out!N50</f>
        <v>0</v>
      </c>
      <c r="P50" s="35">
        <f>out!O50</f>
        <v>0</v>
      </c>
      <c r="Q50" s="35">
        <f>out!P50</f>
        <v>0</v>
      </c>
      <c r="R50" s="35">
        <f>out!Q50</f>
        <v>0</v>
      </c>
      <c r="S50" s="38">
        <f>out!R50</f>
        <v>0</v>
      </c>
      <c r="T50" s="35">
        <f>out!S50</f>
        <v>0</v>
      </c>
      <c r="U50" s="38">
        <f>out!T50</f>
        <v>0</v>
      </c>
      <c r="V50" s="35">
        <f>out!U50</f>
        <v>0</v>
      </c>
    </row>
    <row r="51" spans="1:22">
      <c r="A51" s="36">
        <f t="shared" si="0"/>
        <v>51</v>
      </c>
      <c r="B51" s="35">
        <f>out!A51</f>
        <v>0</v>
      </c>
      <c r="C51" s="35">
        <f>out!B51</f>
        <v>0</v>
      </c>
      <c r="D51" s="35">
        <f>out!C51</f>
        <v>0</v>
      </c>
      <c r="E51" s="35">
        <f>out!D51</f>
        <v>0</v>
      </c>
      <c r="F51" s="35">
        <f>out!E51</f>
        <v>0</v>
      </c>
      <c r="G51" s="35">
        <f>out!F51</f>
        <v>0</v>
      </c>
      <c r="H51" s="38">
        <f>out!G51</f>
        <v>0</v>
      </c>
      <c r="I51" s="35">
        <f>out!H51</f>
        <v>0</v>
      </c>
      <c r="J51" s="35">
        <f>out!I51</f>
        <v>0</v>
      </c>
      <c r="K51" s="35">
        <f>out!J51</f>
        <v>0</v>
      </c>
      <c r="L51" s="35">
        <f>out!K51</f>
        <v>0</v>
      </c>
      <c r="M51" s="35">
        <f>out!L51</f>
        <v>0</v>
      </c>
      <c r="N51" s="35">
        <f>out!M51</f>
        <v>0</v>
      </c>
      <c r="O51" s="35">
        <f>out!N51</f>
        <v>0</v>
      </c>
      <c r="P51" s="35">
        <f>out!O51</f>
        <v>0</v>
      </c>
      <c r="Q51" s="35">
        <f>out!P51</f>
        <v>0</v>
      </c>
      <c r="R51" s="35">
        <f>out!Q51</f>
        <v>0</v>
      </c>
      <c r="S51" s="38">
        <f>out!R51</f>
        <v>0</v>
      </c>
      <c r="T51" s="35">
        <f>out!S51</f>
        <v>0</v>
      </c>
      <c r="U51" s="38">
        <f>out!T51</f>
        <v>0</v>
      </c>
      <c r="V51" s="35">
        <f>out!U51</f>
        <v>0</v>
      </c>
    </row>
    <row r="52" spans="1:22">
      <c r="A52" s="36">
        <f t="shared" si="0"/>
        <v>52</v>
      </c>
      <c r="B52" s="35">
        <f>out!A52</f>
        <v>0</v>
      </c>
      <c r="C52" s="35">
        <f>out!B52</f>
        <v>0</v>
      </c>
      <c r="D52" s="35">
        <f>out!C52</f>
        <v>0</v>
      </c>
      <c r="E52" s="35">
        <f>out!D52</f>
        <v>0</v>
      </c>
      <c r="F52" s="35">
        <f>out!E52</f>
        <v>0</v>
      </c>
      <c r="G52" s="35">
        <f>out!F52</f>
        <v>0</v>
      </c>
      <c r="H52" s="38">
        <f>out!G52</f>
        <v>0</v>
      </c>
      <c r="I52" s="35">
        <f>out!H52</f>
        <v>0</v>
      </c>
      <c r="J52" s="35">
        <f>out!I52</f>
        <v>0</v>
      </c>
      <c r="K52" s="35">
        <f>out!J52</f>
        <v>0</v>
      </c>
      <c r="L52" s="35">
        <f>out!K52</f>
        <v>0</v>
      </c>
      <c r="M52" s="35">
        <f>out!L52</f>
        <v>0</v>
      </c>
      <c r="N52" s="35">
        <f>out!M52</f>
        <v>0</v>
      </c>
      <c r="O52" s="35">
        <f>out!N52</f>
        <v>0</v>
      </c>
      <c r="P52" s="35">
        <f>out!O52</f>
        <v>0</v>
      </c>
      <c r="Q52" s="35">
        <f>out!P52</f>
        <v>0</v>
      </c>
      <c r="R52" s="35">
        <f>out!Q52</f>
        <v>0</v>
      </c>
      <c r="S52" s="38">
        <f>out!R52</f>
        <v>0</v>
      </c>
      <c r="T52" s="35">
        <f>out!S52</f>
        <v>0</v>
      </c>
      <c r="U52" s="38">
        <f>out!T52</f>
        <v>0</v>
      </c>
      <c r="V52" s="35">
        <f>out!U52</f>
        <v>0</v>
      </c>
    </row>
    <row r="53" spans="1:22">
      <c r="A53" s="36">
        <f t="shared" si="0"/>
        <v>53</v>
      </c>
      <c r="B53" s="35">
        <f>out!A53</f>
        <v>0</v>
      </c>
      <c r="C53" s="35">
        <f>out!B53</f>
        <v>0</v>
      </c>
      <c r="D53" s="35">
        <f>out!C53</f>
        <v>0</v>
      </c>
      <c r="E53" s="35">
        <f>out!D53</f>
        <v>0</v>
      </c>
      <c r="F53" s="35">
        <f>out!E53</f>
        <v>0</v>
      </c>
      <c r="G53" s="35">
        <f>out!F53</f>
        <v>0</v>
      </c>
      <c r="H53" s="38">
        <f>out!G53</f>
        <v>0</v>
      </c>
      <c r="I53" s="35">
        <f>out!H53</f>
        <v>0</v>
      </c>
      <c r="J53" s="35">
        <f>out!I53</f>
        <v>0</v>
      </c>
      <c r="K53" s="35">
        <f>out!J53</f>
        <v>0</v>
      </c>
      <c r="L53" s="35">
        <f>out!K53</f>
        <v>0</v>
      </c>
      <c r="M53" s="35">
        <f>out!L53</f>
        <v>0</v>
      </c>
      <c r="N53" s="35">
        <f>out!M53</f>
        <v>0</v>
      </c>
      <c r="O53" s="35">
        <f>out!N53</f>
        <v>0</v>
      </c>
      <c r="P53" s="35">
        <f>out!O53</f>
        <v>0</v>
      </c>
      <c r="Q53" s="35">
        <f>out!P53</f>
        <v>0</v>
      </c>
      <c r="R53" s="35">
        <f>out!Q53</f>
        <v>0</v>
      </c>
      <c r="S53" s="38">
        <f>out!R53</f>
        <v>0</v>
      </c>
      <c r="T53" s="35">
        <f>out!S53</f>
        <v>0</v>
      </c>
      <c r="U53" s="38">
        <f>out!T53</f>
        <v>0</v>
      </c>
      <c r="V53" s="35">
        <f>out!U53</f>
        <v>0</v>
      </c>
    </row>
    <row r="54" spans="1:22">
      <c r="A54" s="36">
        <f t="shared" si="0"/>
        <v>54</v>
      </c>
      <c r="B54" s="35">
        <f>out!A54</f>
        <v>0</v>
      </c>
      <c r="C54" s="35">
        <f>out!B54</f>
        <v>0</v>
      </c>
      <c r="D54" s="35">
        <f>out!C54</f>
        <v>0</v>
      </c>
      <c r="E54" s="35">
        <f>out!D54</f>
        <v>0</v>
      </c>
      <c r="F54" s="35">
        <f>out!E54</f>
        <v>0</v>
      </c>
      <c r="G54" s="35">
        <f>out!F54</f>
        <v>0</v>
      </c>
      <c r="H54" s="38">
        <f>out!G54</f>
        <v>0</v>
      </c>
      <c r="I54" s="35">
        <f>out!H54</f>
        <v>0</v>
      </c>
      <c r="J54" s="35">
        <f>out!I54</f>
        <v>0</v>
      </c>
      <c r="K54" s="35">
        <f>out!J54</f>
        <v>0</v>
      </c>
      <c r="L54" s="35">
        <f>out!K54</f>
        <v>0</v>
      </c>
      <c r="M54" s="35">
        <f>out!L54</f>
        <v>0</v>
      </c>
      <c r="N54" s="35">
        <f>out!M54</f>
        <v>0</v>
      </c>
      <c r="O54" s="35">
        <f>out!N54</f>
        <v>0</v>
      </c>
      <c r="P54" s="35">
        <f>out!O54</f>
        <v>0</v>
      </c>
      <c r="Q54" s="35">
        <f>out!P54</f>
        <v>0</v>
      </c>
      <c r="R54" s="35">
        <f>out!Q54</f>
        <v>0</v>
      </c>
      <c r="S54" s="38">
        <f>out!R54</f>
        <v>0</v>
      </c>
      <c r="T54" s="35">
        <f>out!S54</f>
        <v>0</v>
      </c>
      <c r="U54" s="38">
        <f>out!T54</f>
        <v>0</v>
      </c>
      <c r="V54" s="35">
        <f>out!U54</f>
        <v>0</v>
      </c>
    </row>
    <row r="55" spans="1:22">
      <c r="A55" s="36">
        <f t="shared" si="0"/>
        <v>55</v>
      </c>
      <c r="B55" s="35">
        <f>out!A55</f>
        <v>0</v>
      </c>
      <c r="C55" s="35">
        <f>out!B55</f>
        <v>0</v>
      </c>
      <c r="D55" s="35">
        <f>out!C55</f>
        <v>0</v>
      </c>
      <c r="E55" s="35">
        <f>out!D55</f>
        <v>0</v>
      </c>
      <c r="F55" s="35">
        <f>out!E55</f>
        <v>0</v>
      </c>
      <c r="G55" s="35">
        <f>out!F55</f>
        <v>0</v>
      </c>
      <c r="H55" s="38">
        <f>out!G55</f>
        <v>0</v>
      </c>
      <c r="I55" s="35">
        <f>out!H55</f>
        <v>0</v>
      </c>
      <c r="J55" s="35">
        <f>out!I55</f>
        <v>0</v>
      </c>
      <c r="K55" s="35">
        <f>out!J55</f>
        <v>0</v>
      </c>
      <c r="L55" s="35">
        <f>out!K55</f>
        <v>0</v>
      </c>
      <c r="M55" s="35">
        <f>out!L55</f>
        <v>0</v>
      </c>
      <c r="N55" s="35">
        <f>out!M55</f>
        <v>0</v>
      </c>
      <c r="O55" s="35">
        <f>out!N55</f>
        <v>0</v>
      </c>
      <c r="P55" s="35">
        <f>out!O55</f>
        <v>0</v>
      </c>
      <c r="Q55" s="35">
        <f>out!P55</f>
        <v>0</v>
      </c>
      <c r="R55" s="35">
        <f>out!Q55</f>
        <v>0</v>
      </c>
      <c r="S55" s="38">
        <f>out!R55</f>
        <v>0</v>
      </c>
      <c r="T55" s="35">
        <f>out!S55</f>
        <v>0</v>
      </c>
      <c r="U55" s="38">
        <f>out!T55</f>
        <v>0</v>
      </c>
      <c r="V55" s="35">
        <f>out!U55</f>
        <v>0</v>
      </c>
    </row>
    <row r="56" spans="1:22">
      <c r="A56" s="36">
        <f t="shared" si="0"/>
        <v>56</v>
      </c>
      <c r="B56" s="35">
        <f>out!A56</f>
        <v>0</v>
      </c>
      <c r="C56" s="35">
        <f>out!B56</f>
        <v>0</v>
      </c>
      <c r="D56" s="35">
        <f>out!C56</f>
        <v>0</v>
      </c>
      <c r="E56" s="35">
        <f>out!D56</f>
        <v>0</v>
      </c>
      <c r="F56" s="35">
        <f>out!E56</f>
        <v>0</v>
      </c>
      <c r="G56" s="35">
        <f>out!F56</f>
        <v>0</v>
      </c>
      <c r="H56" s="38">
        <f>out!G56</f>
        <v>0</v>
      </c>
      <c r="I56" s="35">
        <f>out!H56</f>
        <v>0</v>
      </c>
      <c r="J56" s="35">
        <f>out!I56</f>
        <v>0</v>
      </c>
      <c r="K56" s="35">
        <f>out!J56</f>
        <v>0</v>
      </c>
      <c r="L56" s="35">
        <f>out!K56</f>
        <v>0</v>
      </c>
      <c r="M56" s="35">
        <f>out!L56</f>
        <v>0</v>
      </c>
      <c r="N56" s="35">
        <f>out!M56</f>
        <v>0</v>
      </c>
      <c r="O56" s="35">
        <f>out!N56</f>
        <v>0</v>
      </c>
      <c r="P56" s="35">
        <f>out!O56</f>
        <v>0</v>
      </c>
      <c r="Q56" s="35">
        <f>out!P56</f>
        <v>0</v>
      </c>
      <c r="R56" s="35">
        <f>out!Q56</f>
        <v>0</v>
      </c>
      <c r="S56" s="38">
        <f>out!R56</f>
        <v>0</v>
      </c>
      <c r="T56" s="35">
        <f>out!S56</f>
        <v>0</v>
      </c>
      <c r="U56" s="38">
        <f>out!T56</f>
        <v>0</v>
      </c>
      <c r="V56" s="35">
        <f>out!U56</f>
        <v>0</v>
      </c>
    </row>
    <row r="57" spans="1:22">
      <c r="A57" s="36">
        <f t="shared" si="0"/>
        <v>57</v>
      </c>
      <c r="B57" s="35">
        <f>out!A57</f>
        <v>0</v>
      </c>
      <c r="C57" s="35">
        <f>out!B57</f>
        <v>0</v>
      </c>
      <c r="D57" s="35">
        <f>out!C57</f>
        <v>0</v>
      </c>
      <c r="E57" s="35">
        <f>out!D57</f>
        <v>0</v>
      </c>
      <c r="F57" s="35">
        <f>out!E57</f>
        <v>0</v>
      </c>
      <c r="G57" s="35">
        <f>out!F57</f>
        <v>0</v>
      </c>
      <c r="H57" s="38">
        <f>out!G57</f>
        <v>0</v>
      </c>
      <c r="I57" s="35">
        <f>out!H57</f>
        <v>0</v>
      </c>
      <c r="J57" s="35">
        <f>out!I57</f>
        <v>0</v>
      </c>
      <c r="K57" s="35">
        <f>out!J57</f>
        <v>0</v>
      </c>
      <c r="L57" s="35">
        <f>out!K57</f>
        <v>0</v>
      </c>
      <c r="M57" s="35">
        <f>out!L57</f>
        <v>0</v>
      </c>
      <c r="N57" s="35">
        <f>out!M57</f>
        <v>0</v>
      </c>
      <c r="O57" s="35">
        <f>out!N57</f>
        <v>0</v>
      </c>
      <c r="P57" s="35">
        <f>out!O57</f>
        <v>0</v>
      </c>
      <c r="Q57" s="35">
        <f>out!P57</f>
        <v>0</v>
      </c>
      <c r="R57" s="35">
        <f>out!Q57</f>
        <v>0</v>
      </c>
      <c r="S57" s="38">
        <f>out!R57</f>
        <v>0</v>
      </c>
      <c r="T57" s="35">
        <f>out!S57</f>
        <v>0</v>
      </c>
      <c r="U57" s="38">
        <f>out!T57</f>
        <v>0</v>
      </c>
      <c r="V57" s="35">
        <f>out!U57</f>
        <v>0</v>
      </c>
    </row>
    <row r="58" spans="1:22">
      <c r="A58" s="36">
        <f t="shared" si="0"/>
        <v>58</v>
      </c>
      <c r="B58" s="35">
        <f>out!A58</f>
        <v>0</v>
      </c>
      <c r="C58" s="35">
        <f>out!B58</f>
        <v>0</v>
      </c>
      <c r="D58" s="35">
        <f>out!C58</f>
        <v>0</v>
      </c>
      <c r="E58" s="35">
        <f>out!D58</f>
        <v>0</v>
      </c>
      <c r="F58" s="35">
        <f>out!E58</f>
        <v>0</v>
      </c>
      <c r="G58" s="35">
        <f>out!F58</f>
        <v>0</v>
      </c>
      <c r="H58" s="38">
        <f>out!G58</f>
        <v>0</v>
      </c>
      <c r="I58" s="35">
        <f>out!H58</f>
        <v>0</v>
      </c>
      <c r="J58" s="35">
        <f>out!I58</f>
        <v>0</v>
      </c>
      <c r="K58" s="35">
        <f>out!J58</f>
        <v>0</v>
      </c>
      <c r="L58" s="35">
        <f>out!K58</f>
        <v>0</v>
      </c>
      <c r="M58" s="35">
        <f>out!L58</f>
        <v>0</v>
      </c>
      <c r="N58" s="35">
        <f>out!M58</f>
        <v>0</v>
      </c>
      <c r="O58" s="35">
        <f>out!N58</f>
        <v>0</v>
      </c>
      <c r="P58" s="35">
        <f>out!O58</f>
        <v>0</v>
      </c>
      <c r="Q58" s="35">
        <f>out!P58</f>
        <v>0</v>
      </c>
      <c r="R58" s="35">
        <f>out!Q58</f>
        <v>0</v>
      </c>
      <c r="S58" s="38">
        <f>out!R58</f>
        <v>0</v>
      </c>
      <c r="T58" s="35">
        <f>out!S58</f>
        <v>0</v>
      </c>
      <c r="U58" s="38">
        <f>out!T58</f>
        <v>0</v>
      </c>
      <c r="V58" s="35">
        <f>out!U58</f>
        <v>0</v>
      </c>
    </row>
    <row r="59" spans="1:22">
      <c r="A59" s="36">
        <f t="shared" si="0"/>
        <v>59</v>
      </c>
      <c r="B59" s="35">
        <f>out!A59</f>
        <v>0</v>
      </c>
      <c r="C59" s="35">
        <f>out!B59</f>
        <v>0</v>
      </c>
      <c r="D59" s="35">
        <f>out!C59</f>
        <v>0</v>
      </c>
      <c r="E59" s="35">
        <f>out!D59</f>
        <v>0</v>
      </c>
      <c r="F59" s="35">
        <f>out!E59</f>
        <v>0</v>
      </c>
      <c r="G59" s="35">
        <f>out!F59</f>
        <v>0</v>
      </c>
      <c r="H59" s="38">
        <f>out!G59</f>
        <v>0</v>
      </c>
      <c r="I59" s="35">
        <f>out!H59</f>
        <v>0</v>
      </c>
      <c r="J59" s="35">
        <f>out!I59</f>
        <v>0</v>
      </c>
      <c r="K59" s="35">
        <f>out!J59</f>
        <v>0</v>
      </c>
      <c r="L59" s="35">
        <f>out!K59</f>
        <v>0</v>
      </c>
      <c r="M59" s="35">
        <f>out!L59</f>
        <v>0</v>
      </c>
      <c r="N59" s="35">
        <f>out!M59</f>
        <v>0</v>
      </c>
      <c r="O59" s="35">
        <f>out!N59</f>
        <v>0</v>
      </c>
      <c r="P59" s="35">
        <f>out!O59</f>
        <v>0</v>
      </c>
      <c r="Q59" s="35">
        <f>out!P59</f>
        <v>0</v>
      </c>
      <c r="R59" s="35">
        <f>out!Q59</f>
        <v>0</v>
      </c>
      <c r="S59" s="38">
        <f>out!R59</f>
        <v>0</v>
      </c>
      <c r="T59" s="35">
        <f>out!S59</f>
        <v>0</v>
      </c>
      <c r="U59" s="38">
        <f>out!T59</f>
        <v>0</v>
      </c>
      <c r="V59" s="35">
        <f>out!U59</f>
        <v>0</v>
      </c>
    </row>
    <row r="60" spans="1:22">
      <c r="A60" s="36">
        <f t="shared" si="0"/>
        <v>60</v>
      </c>
      <c r="B60" s="35">
        <f>out!A60</f>
        <v>0</v>
      </c>
      <c r="C60" s="35">
        <f>out!B60</f>
        <v>0</v>
      </c>
      <c r="D60" s="35">
        <f>out!C60</f>
        <v>0</v>
      </c>
      <c r="E60" s="35">
        <f>out!D60</f>
        <v>0</v>
      </c>
      <c r="F60" s="35">
        <f>out!E60</f>
        <v>0</v>
      </c>
      <c r="G60" s="35">
        <f>out!F60</f>
        <v>0</v>
      </c>
      <c r="H60" s="38">
        <f>out!G60</f>
        <v>0</v>
      </c>
      <c r="I60" s="35">
        <f>out!H60</f>
        <v>0</v>
      </c>
      <c r="J60" s="35">
        <f>out!I60</f>
        <v>0</v>
      </c>
      <c r="K60" s="35">
        <f>out!J60</f>
        <v>0</v>
      </c>
      <c r="L60" s="35">
        <f>out!K60</f>
        <v>0</v>
      </c>
      <c r="M60" s="35">
        <f>out!L60</f>
        <v>0</v>
      </c>
      <c r="N60" s="35">
        <f>out!M60</f>
        <v>0</v>
      </c>
      <c r="O60" s="35">
        <f>out!N60</f>
        <v>0</v>
      </c>
      <c r="P60" s="35">
        <f>out!O60</f>
        <v>0</v>
      </c>
      <c r="Q60" s="35">
        <f>out!P60</f>
        <v>0</v>
      </c>
      <c r="R60" s="35">
        <f>out!Q60</f>
        <v>0</v>
      </c>
      <c r="S60" s="38">
        <f>out!R60</f>
        <v>0</v>
      </c>
      <c r="T60" s="35">
        <f>out!S60</f>
        <v>0</v>
      </c>
      <c r="U60" s="38">
        <f>out!T60</f>
        <v>0</v>
      </c>
      <c r="V60" s="35">
        <f>out!U60</f>
        <v>0</v>
      </c>
    </row>
    <row r="61" spans="1:22">
      <c r="A61" s="36">
        <f t="shared" si="0"/>
        <v>61</v>
      </c>
      <c r="B61" s="35">
        <f>out!A61</f>
        <v>0</v>
      </c>
      <c r="C61" s="35">
        <f>out!B61</f>
        <v>0</v>
      </c>
      <c r="D61" s="35">
        <f>out!C61</f>
        <v>0</v>
      </c>
      <c r="E61" s="35">
        <f>out!D61</f>
        <v>0</v>
      </c>
      <c r="F61" s="35">
        <f>out!E61</f>
        <v>0</v>
      </c>
      <c r="G61" s="35">
        <f>out!F61</f>
        <v>0</v>
      </c>
      <c r="H61" s="38">
        <f>out!G61</f>
        <v>0</v>
      </c>
      <c r="I61" s="35">
        <f>out!H61</f>
        <v>0</v>
      </c>
      <c r="J61" s="35">
        <f>out!I61</f>
        <v>0</v>
      </c>
      <c r="K61" s="35">
        <f>out!J61</f>
        <v>0</v>
      </c>
      <c r="L61" s="35">
        <f>out!K61</f>
        <v>0</v>
      </c>
      <c r="M61" s="35">
        <f>out!L61</f>
        <v>0</v>
      </c>
      <c r="N61" s="35">
        <f>out!M61</f>
        <v>0</v>
      </c>
      <c r="O61" s="35">
        <f>out!N61</f>
        <v>0</v>
      </c>
      <c r="P61" s="35">
        <f>out!O61</f>
        <v>0</v>
      </c>
      <c r="Q61" s="35">
        <f>out!P61</f>
        <v>0</v>
      </c>
      <c r="R61" s="35">
        <f>out!Q61</f>
        <v>0</v>
      </c>
      <c r="S61" s="38">
        <f>out!R61</f>
        <v>0</v>
      </c>
      <c r="T61" s="35">
        <f>out!S61</f>
        <v>0</v>
      </c>
      <c r="U61" s="38">
        <f>out!T61</f>
        <v>0</v>
      </c>
      <c r="V61" s="35">
        <f>out!U61</f>
        <v>0</v>
      </c>
    </row>
    <row r="62" spans="1:22">
      <c r="A62" s="36">
        <f t="shared" si="0"/>
        <v>62</v>
      </c>
      <c r="B62" s="35">
        <f>out!A62</f>
        <v>0</v>
      </c>
      <c r="C62" s="35">
        <f>out!B62</f>
        <v>0</v>
      </c>
      <c r="D62" s="35">
        <f>out!C62</f>
        <v>0</v>
      </c>
      <c r="E62" s="35">
        <f>out!D62</f>
        <v>0</v>
      </c>
      <c r="F62" s="35">
        <f>out!E62</f>
        <v>0</v>
      </c>
      <c r="G62" s="35">
        <f>out!F62</f>
        <v>0</v>
      </c>
      <c r="H62" s="38">
        <f>out!G62</f>
        <v>0</v>
      </c>
      <c r="I62" s="35">
        <f>out!H62</f>
        <v>0</v>
      </c>
      <c r="J62" s="35">
        <f>out!I62</f>
        <v>0</v>
      </c>
      <c r="K62" s="35">
        <f>out!J62</f>
        <v>0</v>
      </c>
      <c r="L62" s="35">
        <f>out!K62</f>
        <v>0</v>
      </c>
      <c r="M62" s="35">
        <f>out!L62</f>
        <v>0</v>
      </c>
      <c r="N62" s="35">
        <f>out!M62</f>
        <v>0</v>
      </c>
      <c r="O62" s="35">
        <f>out!N62</f>
        <v>0</v>
      </c>
      <c r="P62" s="35">
        <f>out!O62</f>
        <v>0</v>
      </c>
      <c r="Q62" s="35">
        <f>out!P62</f>
        <v>0</v>
      </c>
      <c r="R62" s="35">
        <f>out!Q62</f>
        <v>0</v>
      </c>
      <c r="S62" s="38">
        <f>out!R62</f>
        <v>0</v>
      </c>
      <c r="T62" s="35">
        <f>out!S62</f>
        <v>0</v>
      </c>
      <c r="U62" s="38">
        <f>out!T62</f>
        <v>0</v>
      </c>
      <c r="V62" s="35">
        <f>out!U62</f>
        <v>0</v>
      </c>
    </row>
    <row r="63" spans="1:22">
      <c r="A63" s="36">
        <f t="shared" si="0"/>
        <v>63</v>
      </c>
      <c r="B63" s="35">
        <f>out!A63</f>
        <v>0</v>
      </c>
      <c r="C63" s="35">
        <f>out!B63</f>
        <v>0</v>
      </c>
      <c r="D63" s="35">
        <f>out!C63</f>
        <v>0</v>
      </c>
      <c r="E63" s="35">
        <f>out!D63</f>
        <v>0</v>
      </c>
      <c r="F63" s="35">
        <f>out!E63</f>
        <v>0</v>
      </c>
      <c r="G63" s="35">
        <f>out!F63</f>
        <v>0</v>
      </c>
      <c r="H63" s="38">
        <f>out!G63</f>
        <v>0</v>
      </c>
      <c r="I63" s="35">
        <f>out!H63</f>
        <v>0</v>
      </c>
      <c r="J63" s="35">
        <f>out!I63</f>
        <v>0</v>
      </c>
      <c r="K63" s="35">
        <f>out!J63</f>
        <v>0</v>
      </c>
      <c r="L63" s="35">
        <f>out!K63</f>
        <v>0</v>
      </c>
      <c r="M63" s="35">
        <f>out!L63</f>
        <v>0</v>
      </c>
      <c r="N63" s="35">
        <f>out!M63</f>
        <v>0</v>
      </c>
      <c r="O63" s="35">
        <f>out!N63</f>
        <v>0</v>
      </c>
      <c r="P63" s="35">
        <f>out!O63</f>
        <v>0</v>
      </c>
      <c r="Q63" s="35">
        <f>out!P63</f>
        <v>0</v>
      </c>
      <c r="R63" s="35">
        <f>out!Q63</f>
        <v>0</v>
      </c>
      <c r="S63" s="38">
        <f>out!R63</f>
        <v>0</v>
      </c>
      <c r="T63" s="35">
        <f>out!S63</f>
        <v>0</v>
      </c>
      <c r="U63" s="38">
        <f>out!T63</f>
        <v>0</v>
      </c>
      <c r="V63" s="35">
        <f>out!U63</f>
        <v>0</v>
      </c>
    </row>
    <row r="64" spans="1:22">
      <c r="A64" s="36">
        <f t="shared" si="0"/>
        <v>64</v>
      </c>
      <c r="B64" s="35">
        <f>out!A64</f>
        <v>0</v>
      </c>
      <c r="C64" s="35">
        <f>out!B64</f>
        <v>0</v>
      </c>
      <c r="D64" s="35">
        <f>out!C64</f>
        <v>0</v>
      </c>
      <c r="E64" s="35">
        <f>out!D64</f>
        <v>0</v>
      </c>
      <c r="F64" s="35">
        <f>out!E64</f>
        <v>0</v>
      </c>
      <c r="G64" s="35">
        <f>out!F64</f>
        <v>0</v>
      </c>
      <c r="H64" s="38">
        <f>out!G64</f>
        <v>0</v>
      </c>
      <c r="I64" s="35">
        <f>out!H64</f>
        <v>0</v>
      </c>
      <c r="J64" s="35">
        <f>out!I64</f>
        <v>0</v>
      </c>
      <c r="K64" s="35">
        <f>out!J64</f>
        <v>0</v>
      </c>
      <c r="L64" s="35">
        <f>out!K64</f>
        <v>0</v>
      </c>
      <c r="M64" s="35">
        <f>out!L64</f>
        <v>0</v>
      </c>
      <c r="N64" s="35">
        <f>out!M64</f>
        <v>0</v>
      </c>
      <c r="O64" s="35">
        <f>out!N64</f>
        <v>0</v>
      </c>
      <c r="P64" s="35">
        <f>out!O64</f>
        <v>0</v>
      </c>
      <c r="Q64" s="35">
        <f>out!P64</f>
        <v>0</v>
      </c>
      <c r="R64" s="35">
        <f>out!Q64</f>
        <v>0</v>
      </c>
      <c r="S64" s="38">
        <f>out!R64</f>
        <v>0</v>
      </c>
      <c r="T64" s="35">
        <f>out!S64</f>
        <v>0</v>
      </c>
      <c r="U64" s="38">
        <f>out!T64</f>
        <v>0</v>
      </c>
      <c r="V64" s="35">
        <f>out!U64</f>
        <v>0</v>
      </c>
    </row>
    <row r="65" spans="1:22">
      <c r="A65" s="36">
        <f t="shared" si="0"/>
        <v>65</v>
      </c>
      <c r="B65" s="35">
        <f>out!A65</f>
        <v>0</v>
      </c>
      <c r="C65" s="35">
        <f>out!B65</f>
        <v>0</v>
      </c>
      <c r="D65" s="35">
        <f>out!C65</f>
        <v>0</v>
      </c>
      <c r="E65" s="35">
        <f>out!D65</f>
        <v>0</v>
      </c>
      <c r="F65" s="35">
        <f>out!E65</f>
        <v>0</v>
      </c>
      <c r="G65" s="35">
        <f>out!F65</f>
        <v>0</v>
      </c>
      <c r="H65" s="38">
        <f>out!G65</f>
        <v>0</v>
      </c>
      <c r="I65" s="35">
        <f>out!H65</f>
        <v>0</v>
      </c>
      <c r="J65" s="35">
        <f>out!I65</f>
        <v>0</v>
      </c>
      <c r="K65" s="35">
        <f>out!J65</f>
        <v>0</v>
      </c>
      <c r="L65" s="35">
        <f>out!K65</f>
        <v>0</v>
      </c>
      <c r="M65" s="35">
        <f>out!L65</f>
        <v>0</v>
      </c>
      <c r="N65" s="35">
        <f>out!M65</f>
        <v>0</v>
      </c>
      <c r="O65" s="35">
        <f>out!N65</f>
        <v>0</v>
      </c>
      <c r="P65" s="35">
        <f>out!O65</f>
        <v>0</v>
      </c>
      <c r="Q65" s="35">
        <f>out!P65</f>
        <v>0</v>
      </c>
      <c r="R65" s="35">
        <f>out!Q65</f>
        <v>0</v>
      </c>
      <c r="S65" s="38">
        <f>out!R65</f>
        <v>0</v>
      </c>
      <c r="T65" s="35">
        <f>out!S65</f>
        <v>0</v>
      </c>
      <c r="U65" s="38">
        <f>out!T65</f>
        <v>0</v>
      </c>
      <c r="V65" s="35">
        <f>out!U65</f>
        <v>0</v>
      </c>
    </row>
    <row r="66" spans="1:22">
      <c r="A66" s="36">
        <f t="shared" si="0"/>
        <v>66</v>
      </c>
      <c r="B66" s="35">
        <f>out!A66</f>
        <v>0</v>
      </c>
      <c r="C66" s="35">
        <f>out!B66</f>
        <v>0</v>
      </c>
      <c r="D66" s="35">
        <f>out!C66</f>
        <v>0</v>
      </c>
      <c r="E66" s="35">
        <f>out!D66</f>
        <v>0</v>
      </c>
      <c r="F66" s="35">
        <f>out!E66</f>
        <v>0</v>
      </c>
      <c r="G66" s="35">
        <f>out!F66</f>
        <v>0</v>
      </c>
      <c r="H66" s="38">
        <f>out!G66</f>
        <v>0</v>
      </c>
      <c r="I66" s="35">
        <f>out!H66</f>
        <v>0</v>
      </c>
      <c r="J66" s="35">
        <f>out!I66</f>
        <v>0</v>
      </c>
      <c r="K66" s="35">
        <f>out!J66</f>
        <v>0</v>
      </c>
      <c r="L66" s="35">
        <f>out!K66</f>
        <v>0</v>
      </c>
      <c r="M66" s="35">
        <f>out!L66</f>
        <v>0</v>
      </c>
      <c r="N66" s="35">
        <f>out!M66</f>
        <v>0</v>
      </c>
      <c r="O66" s="35">
        <f>out!N66</f>
        <v>0</v>
      </c>
      <c r="P66" s="35">
        <f>out!O66</f>
        <v>0</v>
      </c>
      <c r="Q66" s="35">
        <f>out!P66</f>
        <v>0</v>
      </c>
      <c r="R66" s="35">
        <f>out!Q66</f>
        <v>0</v>
      </c>
      <c r="S66" s="38">
        <f>out!R66</f>
        <v>0</v>
      </c>
      <c r="T66" s="35">
        <f>out!S66</f>
        <v>0</v>
      </c>
      <c r="U66" s="38">
        <f>out!T66</f>
        <v>0</v>
      </c>
      <c r="V66" s="35">
        <f>out!U66</f>
        <v>0</v>
      </c>
    </row>
    <row r="67" spans="1:22">
      <c r="A67" s="36">
        <f t="shared" ref="A67:A100" si="1">A66+1</f>
        <v>67</v>
      </c>
      <c r="B67" s="35">
        <f>out!A67</f>
        <v>0</v>
      </c>
      <c r="C67" s="35">
        <f>out!B67</f>
        <v>0</v>
      </c>
      <c r="D67" s="35">
        <f>out!C67</f>
        <v>0</v>
      </c>
      <c r="E67" s="35">
        <f>out!D67</f>
        <v>0</v>
      </c>
      <c r="F67" s="35">
        <f>out!E67</f>
        <v>0</v>
      </c>
      <c r="G67" s="35">
        <f>out!F67</f>
        <v>0</v>
      </c>
      <c r="H67" s="38">
        <f>out!G67</f>
        <v>0</v>
      </c>
      <c r="I67" s="35">
        <f>out!H67</f>
        <v>0</v>
      </c>
      <c r="J67" s="35">
        <f>out!I67</f>
        <v>0</v>
      </c>
      <c r="K67" s="35">
        <f>out!J67</f>
        <v>0</v>
      </c>
      <c r="L67" s="35">
        <f>out!K67</f>
        <v>0</v>
      </c>
      <c r="M67" s="35">
        <f>out!L67</f>
        <v>0</v>
      </c>
      <c r="N67" s="35">
        <f>out!M67</f>
        <v>0</v>
      </c>
      <c r="O67" s="35">
        <f>out!N67</f>
        <v>0</v>
      </c>
      <c r="P67" s="35">
        <f>out!O67</f>
        <v>0</v>
      </c>
      <c r="Q67" s="35">
        <f>out!P67</f>
        <v>0</v>
      </c>
      <c r="R67" s="35">
        <f>out!Q67</f>
        <v>0</v>
      </c>
      <c r="S67" s="38">
        <f>out!R67</f>
        <v>0</v>
      </c>
      <c r="T67" s="35">
        <f>out!S67</f>
        <v>0</v>
      </c>
      <c r="U67" s="38">
        <f>out!T67</f>
        <v>0</v>
      </c>
      <c r="V67" s="35">
        <f>out!U67</f>
        <v>0</v>
      </c>
    </row>
    <row r="68" spans="1:22">
      <c r="A68" s="36">
        <f t="shared" si="1"/>
        <v>68</v>
      </c>
      <c r="B68" s="35">
        <f>out!A68</f>
        <v>0</v>
      </c>
      <c r="C68" s="35">
        <f>out!B68</f>
        <v>0</v>
      </c>
      <c r="D68" s="35">
        <f>out!C68</f>
        <v>0</v>
      </c>
      <c r="E68" s="35">
        <f>out!D68</f>
        <v>0</v>
      </c>
      <c r="F68" s="35">
        <f>out!E68</f>
        <v>0</v>
      </c>
      <c r="G68" s="35">
        <f>out!F68</f>
        <v>0</v>
      </c>
      <c r="H68" s="38">
        <f>out!G68</f>
        <v>0</v>
      </c>
      <c r="I68" s="35">
        <f>out!H68</f>
        <v>0</v>
      </c>
      <c r="J68" s="35">
        <f>out!I68</f>
        <v>0</v>
      </c>
      <c r="K68" s="35">
        <f>out!J68</f>
        <v>0</v>
      </c>
      <c r="L68" s="35">
        <f>out!K68</f>
        <v>0</v>
      </c>
      <c r="M68" s="35">
        <f>out!L68</f>
        <v>0</v>
      </c>
      <c r="N68" s="35">
        <f>out!M68</f>
        <v>0</v>
      </c>
      <c r="O68" s="35">
        <f>out!N68</f>
        <v>0</v>
      </c>
      <c r="P68" s="35">
        <f>out!O68</f>
        <v>0</v>
      </c>
      <c r="Q68" s="35">
        <f>out!P68</f>
        <v>0</v>
      </c>
      <c r="R68" s="35">
        <f>out!Q68</f>
        <v>0</v>
      </c>
      <c r="S68" s="38">
        <f>out!R68</f>
        <v>0</v>
      </c>
      <c r="T68" s="35">
        <f>out!S68</f>
        <v>0</v>
      </c>
      <c r="U68" s="38">
        <f>out!T68</f>
        <v>0</v>
      </c>
      <c r="V68" s="35">
        <f>out!U68</f>
        <v>0</v>
      </c>
    </row>
    <row r="69" spans="1:22">
      <c r="A69" s="36">
        <f t="shared" si="1"/>
        <v>69</v>
      </c>
      <c r="B69" s="35">
        <f>out!A69</f>
        <v>0</v>
      </c>
      <c r="C69" s="35">
        <f>out!B69</f>
        <v>0</v>
      </c>
      <c r="D69" s="35">
        <f>out!C69</f>
        <v>0</v>
      </c>
      <c r="E69" s="35">
        <f>out!D69</f>
        <v>0</v>
      </c>
      <c r="F69" s="35">
        <f>out!E69</f>
        <v>0</v>
      </c>
      <c r="G69" s="35">
        <f>out!F69</f>
        <v>0</v>
      </c>
      <c r="H69" s="38">
        <f>out!G69</f>
        <v>0</v>
      </c>
      <c r="I69" s="35">
        <f>out!H69</f>
        <v>0</v>
      </c>
      <c r="J69" s="35">
        <f>out!I69</f>
        <v>0</v>
      </c>
      <c r="K69" s="35">
        <f>out!J69</f>
        <v>0</v>
      </c>
      <c r="L69" s="35">
        <f>out!K69</f>
        <v>0</v>
      </c>
      <c r="M69" s="35">
        <f>out!L69</f>
        <v>0</v>
      </c>
      <c r="N69" s="35">
        <f>out!M69</f>
        <v>0</v>
      </c>
      <c r="O69" s="35">
        <f>out!N69</f>
        <v>0</v>
      </c>
      <c r="P69" s="35">
        <f>out!O69</f>
        <v>0</v>
      </c>
      <c r="Q69" s="35">
        <f>out!P69</f>
        <v>0</v>
      </c>
      <c r="R69" s="35">
        <f>out!Q69</f>
        <v>0</v>
      </c>
      <c r="S69" s="38">
        <f>out!R69</f>
        <v>0</v>
      </c>
      <c r="T69" s="35">
        <f>out!S69</f>
        <v>0</v>
      </c>
      <c r="U69" s="38">
        <f>out!T69</f>
        <v>0</v>
      </c>
      <c r="V69" s="35">
        <f>out!U69</f>
        <v>0</v>
      </c>
    </row>
    <row r="70" spans="1:22">
      <c r="A70" s="36">
        <f t="shared" si="1"/>
        <v>70</v>
      </c>
      <c r="B70" s="35">
        <f>out!A70</f>
        <v>0</v>
      </c>
      <c r="C70" s="35">
        <f>out!B70</f>
        <v>0</v>
      </c>
      <c r="D70" s="35">
        <f>out!C70</f>
        <v>0</v>
      </c>
      <c r="E70" s="35">
        <f>out!D70</f>
        <v>0</v>
      </c>
      <c r="F70" s="35">
        <f>out!E70</f>
        <v>0</v>
      </c>
      <c r="G70" s="35">
        <f>out!F70</f>
        <v>0</v>
      </c>
      <c r="H70" s="38">
        <f>out!G70</f>
        <v>0</v>
      </c>
      <c r="I70" s="35">
        <f>out!H70</f>
        <v>0</v>
      </c>
      <c r="J70" s="35">
        <f>out!I70</f>
        <v>0</v>
      </c>
      <c r="K70" s="35">
        <f>out!J70</f>
        <v>0</v>
      </c>
      <c r="L70" s="35">
        <f>out!K70</f>
        <v>0</v>
      </c>
      <c r="M70" s="35">
        <f>out!L70</f>
        <v>0</v>
      </c>
      <c r="N70" s="35">
        <f>out!M70</f>
        <v>0</v>
      </c>
      <c r="O70" s="35">
        <f>out!N70</f>
        <v>0</v>
      </c>
      <c r="P70" s="35">
        <f>out!O70</f>
        <v>0</v>
      </c>
      <c r="Q70" s="35">
        <f>out!P70</f>
        <v>0</v>
      </c>
      <c r="R70" s="35">
        <f>out!Q70</f>
        <v>0</v>
      </c>
      <c r="S70" s="38">
        <f>out!R70</f>
        <v>0</v>
      </c>
      <c r="T70" s="35">
        <f>out!S70</f>
        <v>0</v>
      </c>
      <c r="U70" s="38">
        <f>out!T70</f>
        <v>0</v>
      </c>
      <c r="V70" s="35">
        <f>out!U70</f>
        <v>0</v>
      </c>
    </row>
    <row r="71" spans="1:22">
      <c r="A71" s="36">
        <f t="shared" si="1"/>
        <v>71</v>
      </c>
      <c r="B71" s="35">
        <f>out!A71</f>
        <v>0</v>
      </c>
      <c r="C71" s="35">
        <f>out!B71</f>
        <v>0</v>
      </c>
      <c r="D71" s="35">
        <f>out!C71</f>
        <v>0</v>
      </c>
      <c r="E71" s="35">
        <f>out!D71</f>
        <v>0</v>
      </c>
      <c r="F71" s="35">
        <f>out!E71</f>
        <v>0</v>
      </c>
      <c r="G71" s="35">
        <f>out!F71</f>
        <v>0</v>
      </c>
      <c r="H71" s="38">
        <f>out!G71</f>
        <v>0</v>
      </c>
      <c r="I71" s="35">
        <f>out!H71</f>
        <v>0</v>
      </c>
      <c r="J71" s="35">
        <f>out!I71</f>
        <v>0</v>
      </c>
      <c r="K71" s="35">
        <f>out!J71</f>
        <v>0</v>
      </c>
      <c r="L71" s="35">
        <f>out!K71</f>
        <v>0</v>
      </c>
      <c r="M71" s="35">
        <f>out!L71</f>
        <v>0</v>
      </c>
      <c r="N71" s="35">
        <f>out!M71</f>
        <v>0</v>
      </c>
      <c r="O71" s="35">
        <f>out!N71</f>
        <v>0</v>
      </c>
      <c r="P71" s="35">
        <f>out!O71</f>
        <v>0</v>
      </c>
      <c r="Q71" s="35">
        <f>out!P71</f>
        <v>0</v>
      </c>
      <c r="R71" s="35">
        <f>out!Q71</f>
        <v>0</v>
      </c>
      <c r="S71" s="38">
        <f>out!R71</f>
        <v>0</v>
      </c>
      <c r="T71" s="35">
        <f>out!S71</f>
        <v>0</v>
      </c>
      <c r="U71" s="38">
        <f>out!T71</f>
        <v>0</v>
      </c>
      <c r="V71" s="35">
        <f>out!U71</f>
        <v>0</v>
      </c>
    </row>
    <row r="72" spans="1:22">
      <c r="A72" s="36">
        <f t="shared" si="1"/>
        <v>72</v>
      </c>
      <c r="B72" s="35">
        <f>out!A72</f>
        <v>0</v>
      </c>
      <c r="C72" s="35">
        <f>out!B72</f>
        <v>0</v>
      </c>
      <c r="D72" s="35">
        <f>out!C72</f>
        <v>0</v>
      </c>
      <c r="E72" s="35">
        <f>out!D72</f>
        <v>0</v>
      </c>
      <c r="F72" s="35">
        <f>out!E72</f>
        <v>0</v>
      </c>
      <c r="G72" s="35">
        <f>out!F72</f>
        <v>0</v>
      </c>
      <c r="H72" s="38">
        <f>out!G72</f>
        <v>0</v>
      </c>
      <c r="I72" s="35">
        <f>out!H72</f>
        <v>0</v>
      </c>
      <c r="J72" s="35">
        <f>out!I72</f>
        <v>0</v>
      </c>
      <c r="K72" s="35">
        <f>out!J72</f>
        <v>0</v>
      </c>
      <c r="L72" s="35">
        <f>out!K72</f>
        <v>0</v>
      </c>
      <c r="M72" s="35">
        <f>out!L72</f>
        <v>0</v>
      </c>
      <c r="N72" s="35">
        <f>out!M72</f>
        <v>0</v>
      </c>
      <c r="O72" s="35">
        <f>out!N72</f>
        <v>0</v>
      </c>
      <c r="P72" s="35">
        <f>out!O72</f>
        <v>0</v>
      </c>
      <c r="Q72" s="35">
        <f>out!P72</f>
        <v>0</v>
      </c>
      <c r="R72" s="35">
        <f>out!Q72</f>
        <v>0</v>
      </c>
      <c r="S72" s="38">
        <f>out!R72</f>
        <v>0</v>
      </c>
      <c r="T72" s="35">
        <f>out!S72</f>
        <v>0</v>
      </c>
      <c r="U72" s="38">
        <f>out!T72</f>
        <v>0</v>
      </c>
      <c r="V72" s="35">
        <f>out!U72</f>
        <v>0</v>
      </c>
    </row>
    <row r="73" spans="1:22">
      <c r="A73" s="36">
        <f t="shared" si="1"/>
        <v>73</v>
      </c>
      <c r="B73" s="35">
        <f>out!A73</f>
        <v>0</v>
      </c>
      <c r="C73" s="35">
        <f>out!B73</f>
        <v>0</v>
      </c>
      <c r="D73" s="35">
        <f>out!C73</f>
        <v>0</v>
      </c>
      <c r="E73" s="35">
        <f>out!D73</f>
        <v>0</v>
      </c>
      <c r="F73" s="35">
        <f>out!E73</f>
        <v>0</v>
      </c>
      <c r="G73" s="35">
        <f>out!F73</f>
        <v>0</v>
      </c>
      <c r="H73" s="38">
        <f>out!G73</f>
        <v>0</v>
      </c>
      <c r="I73" s="35">
        <f>out!H73</f>
        <v>0</v>
      </c>
      <c r="J73" s="35">
        <f>out!I73</f>
        <v>0</v>
      </c>
      <c r="K73" s="35">
        <f>out!J73</f>
        <v>0</v>
      </c>
      <c r="L73" s="35">
        <f>out!K73</f>
        <v>0</v>
      </c>
      <c r="M73" s="35">
        <f>out!L73</f>
        <v>0</v>
      </c>
      <c r="N73" s="35">
        <f>out!M73</f>
        <v>0</v>
      </c>
      <c r="O73" s="35">
        <f>out!N73</f>
        <v>0</v>
      </c>
      <c r="P73" s="35">
        <f>out!O73</f>
        <v>0</v>
      </c>
      <c r="Q73" s="35">
        <f>out!P73</f>
        <v>0</v>
      </c>
      <c r="R73" s="35">
        <f>out!Q73</f>
        <v>0</v>
      </c>
      <c r="S73" s="38">
        <f>out!R73</f>
        <v>0</v>
      </c>
      <c r="T73" s="35">
        <f>out!S73</f>
        <v>0</v>
      </c>
      <c r="U73" s="38">
        <f>out!T73</f>
        <v>0</v>
      </c>
      <c r="V73" s="35">
        <f>out!U73</f>
        <v>0</v>
      </c>
    </row>
    <row r="74" spans="1:22">
      <c r="A74" s="36">
        <f t="shared" si="1"/>
        <v>74</v>
      </c>
      <c r="B74" s="35">
        <f>out!A74</f>
        <v>0</v>
      </c>
      <c r="C74" s="35">
        <f>out!B74</f>
        <v>0</v>
      </c>
      <c r="D74" s="35">
        <f>out!C74</f>
        <v>0</v>
      </c>
      <c r="E74" s="35">
        <f>out!D74</f>
        <v>0</v>
      </c>
      <c r="F74" s="35">
        <f>out!E74</f>
        <v>0</v>
      </c>
      <c r="G74" s="35">
        <f>out!F74</f>
        <v>0</v>
      </c>
      <c r="H74" s="38">
        <f>out!G74</f>
        <v>0</v>
      </c>
      <c r="I74" s="35">
        <f>out!H74</f>
        <v>0</v>
      </c>
      <c r="J74" s="35">
        <f>out!I74</f>
        <v>0</v>
      </c>
      <c r="K74" s="35">
        <f>out!J74</f>
        <v>0</v>
      </c>
      <c r="L74" s="35">
        <f>out!K74</f>
        <v>0</v>
      </c>
      <c r="M74" s="35">
        <f>out!L74</f>
        <v>0</v>
      </c>
      <c r="N74" s="35">
        <f>out!M74</f>
        <v>0</v>
      </c>
      <c r="O74" s="35">
        <f>out!N74</f>
        <v>0</v>
      </c>
      <c r="P74" s="35">
        <f>out!O74</f>
        <v>0</v>
      </c>
      <c r="Q74" s="35">
        <f>out!P74</f>
        <v>0</v>
      </c>
      <c r="R74" s="35">
        <f>out!Q74</f>
        <v>0</v>
      </c>
      <c r="S74" s="38">
        <f>out!R74</f>
        <v>0</v>
      </c>
      <c r="T74" s="35">
        <f>out!S74</f>
        <v>0</v>
      </c>
      <c r="U74" s="38">
        <f>out!T74</f>
        <v>0</v>
      </c>
      <c r="V74" s="35">
        <f>out!U74</f>
        <v>0</v>
      </c>
    </row>
    <row r="75" spans="1:22">
      <c r="A75" s="36">
        <f t="shared" si="1"/>
        <v>75</v>
      </c>
      <c r="B75" s="35">
        <f>out!A75</f>
        <v>0</v>
      </c>
      <c r="C75" s="35">
        <f>out!B75</f>
        <v>0</v>
      </c>
      <c r="D75" s="35">
        <f>out!C75</f>
        <v>0</v>
      </c>
      <c r="E75" s="35">
        <f>out!D75</f>
        <v>0</v>
      </c>
      <c r="F75" s="35">
        <f>out!E75</f>
        <v>0</v>
      </c>
      <c r="G75" s="35">
        <f>out!F75</f>
        <v>0</v>
      </c>
      <c r="H75" s="38">
        <f>out!G75</f>
        <v>0</v>
      </c>
      <c r="I75" s="35">
        <f>out!H75</f>
        <v>0</v>
      </c>
      <c r="J75" s="35">
        <f>out!I75</f>
        <v>0</v>
      </c>
      <c r="K75" s="35">
        <f>out!J75</f>
        <v>0</v>
      </c>
      <c r="L75" s="35">
        <f>out!K75</f>
        <v>0</v>
      </c>
      <c r="M75" s="35">
        <f>out!L75</f>
        <v>0</v>
      </c>
      <c r="N75" s="35">
        <f>out!M75</f>
        <v>0</v>
      </c>
      <c r="O75" s="35">
        <f>out!N75</f>
        <v>0</v>
      </c>
      <c r="P75" s="35">
        <f>out!O75</f>
        <v>0</v>
      </c>
      <c r="Q75" s="35">
        <f>out!P75</f>
        <v>0</v>
      </c>
      <c r="R75" s="35">
        <f>out!Q75</f>
        <v>0</v>
      </c>
      <c r="S75" s="38">
        <f>out!R75</f>
        <v>0</v>
      </c>
      <c r="T75" s="35">
        <f>out!S75</f>
        <v>0</v>
      </c>
      <c r="U75" s="38">
        <f>out!T75</f>
        <v>0</v>
      </c>
      <c r="V75" s="35">
        <f>out!U75</f>
        <v>0</v>
      </c>
    </row>
    <row r="76" spans="1:22">
      <c r="A76" s="36">
        <f t="shared" si="1"/>
        <v>76</v>
      </c>
      <c r="B76" s="35">
        <f>out!A76</f>
        <v>0</v>
      </c>
      <c r="C76" s="35">
        <f>out!B76</f>
        <v>0</v>
      </c>
      <c r="D76" s="35">
        <f>out!C76</f>
        <v>0</v>
      </c>
      <c r="E76" s="35">
        <f>out!D76</f>
        <v>0</v>
      </c>
      <c r="F76" s="35">
        <f>out!E76</f>
        <v>0</v>
      </c>
      <c r="G76" s="35">
        <f>out!F76</f>
        <v>0</v>
      </c>
      <c r="H76" s="38">
        <f>out!G76</f>
        <v>0</v>
      </c>
      <c r="I76" s="35">
        <f>out!H76</f>
        <v>0</v>
      </c>
      <c r="J76" s="35">
        <f>out!I76</f>
        <v>0</v>
      </c>
      <c r="K76" s="35">
        <f>out!J76</f>
        <v>0</v>
      </c>
      <c r="L76" s="35">
        <f>out!K76</f>
        <v>0</v>
      </c>
      <c r="M76" s="35">
        <f>out!L76</f>
        <v>0</v>
      </c>
      <c r="N76" s="35">
        <f>out!M76</f>
        <v>0</v>
      </c>
      <c r="O76" s="35">
        <f>out!N76</f>
        <v>0</v>
      </c>
      <c r="P76" s="35">
        <f>out!O76</f>
        <v>0</v>
      </c>
      <c r="Q76" s="35">
        <f>out!P76</f>
        <v>0</v>
      </c>
      <c r="R76" s="35">
        <f>out!Q76</f>
        <v>0</v>
      </c>
      <c r="S76" s="38">
        <f>out!R76</f>
        <v>0</v>
      </c>
      <c r="T76" s="35">
        <f>out!S76</f>
        <v>0</v>
      </c>
      <c r="U76" s="38">
        <f>out!T76</f>
        <v>0</v>
      </c>
      <c r="V76" s="35">
        <f>out!U76</f>
        <v>0</v>
      </c>
    </row>
    <row r="77" spans="1:22">
      <c r="A77" s="36">
        <f t="shared" si="1"/>
        <v>77</v>
      </c>
      <c r="B77" s="35">
        <f>out!A77</f>
        <v>0</v>
      </c>
      <c r="C77" s="35">
        <f>out!B77</f>
        <v>0</v>
      </c>
      <c r="D77" s="35">
        <f>out!C77</f>
        <v>0</v>
      </c>
      <c r="E77" s="35">
        <f>out!D77</f>
        <v>0</v>
      </c>
      <c r="F77" s="35">
        <f>out!E77</f>
        <v>0</v>
      </c>
      <c r="G77" s="35">
        <f>out!F77</f>
        <v>0</v>
      </c>
      <c r="H77" s="38">
        <f>out!G77</f>
        <v>0</v>
      </c>
      <c r="I77" s="35">
        <f>out!H77</f>
        <v>0</v>
      </c>
      <c r="J77" s="35">
        <f>out!I77</f>
        <v>0</v>
      </c>
      <c r="K77" s="35">
        <f>out!J77</f>
        <v>0</v>
      </c>
      <c r="L77" s="35">
        <f>out!K77</f>
        <v>0</v>
      </c>
      <c r="M77" s="35">
        <f>out!L77</f>
        <v>0</v>
      </c>
      <c r="N77" s="35">
        <f>out!M77</f>
        <v>0</v>
      </c>
      <c r="O77" s="35">
        <f>out!N77</f>
        <v>0</v>
      </c>
      <c r="P77" s="35">
        <f>out!O77</f>
        <v>0</v>
      </c>
      <c r="Q77" s="35">
        <f>out!P77</f>
        <v>0</v>
      </c>
      <c r="R77" s="35">
        <f>out!Q77</f>
        <v>0</v>
      </c>
      <c r="S77" s="38">
        <f>out!R77</f>
        <v>0</v>
      </c>
      <c r="T77" s="35">
        <f>out!S77</f>
        <v>0</v>
      </c>
      <c r="U77" s="38">
        <f>out!T77</f>
        <v>0</v>
      </c>
      <c r="V77" s="35">
        <f>out!U77</f>
        <v>0</v>
      </c>
    </row>
    <row r="78" spans="1:22">
      <c r="A78" s="36">
        <f t="shared" si="1"/>
        <v>78</v>
      </c>
      <c r="B78" s="35">
        <f>out!A78</f>
        <v>0</v>
      </c>
      <c r="C78" s="35">
        <f>out!B78</f>
        <v>0</v>
      </c>
      <c r="D78" s="35">
        <f>out!C78</f>
        <v>0</v>
      </c>
      <c r="E78" s="35">
        <f>out!D78</f>
        <v>0</v>
      </c>
      <c r="F78" s="35">
        <f>out!E78</f>
        <v>0</v>
      </c>
      <c r="G78" s="35">
        <f>out!F78</f>
        <v>0</v>
      </c>
      <c r="H78" s="38">
        <f>out!G78</f>
        <v>0</v>
      </c>
      <c r="I78" s="35">
        <f>out!H78</f>
        <v>0</v>
      </c>
      <c r="J78" s="35">
        <f>out!I78</f>
        <v>0</v>
      </c>
      <c r="K78" s="35">
        <f>out!J78</f>
        <v>0</v>
      </c>
      <c r="L78" s="35">
        <f>out!K78</f>
        <v>0</v>
      </c>
      <c r="M78" s="35">
        <f>out!L78</f>
        <v>0</v>
      </c>
      <c r="N78" s="35">
        <f>out!M78</f>
        <v>0</v>
      </c>
      <c r="O78" s="35">
        <f>out!N78</f>
        <v>0</v>
      </c>
      <c r="P78" s="35">
        <f>out!O78</f>
        <v>0</v>
      </c>
      <c r="Q78" s="35">
        <f>out!P78</f>
        <v>0</v>
      </c>
      <c r="R78" s="35">
        <f>out!Q78</f>
        <v>0</v>
      </c>
      <c r="S78" s="38">
        <f>out!R78</f>
        <v>0</v>
      </c>
      <c r="T78" s="35">
        <f>out!S78</f>
        <v>0</v>
      </c>
      <c r="U78" s="38">
        <f>out!T78</f>
        <v>0</v>
      </c>
      <c r="V78" s="35">
        <f>out!U78</f>
        <v>0</v>
      </c>
    </row>
    <row r="79" spans="1:22">
      <c r="A79" s="36">
        <f t="shared" si="1"/>
        <v>79</v>
      </c>
      <c r="B79" s="35">
        <f>out!A79</f>
        <v>0</v>
      </c>
      <c r="C79" s="35">
        <f>out!B79</f>
        <v>0</v>
      </c>
      <c r="D79" s="35">
        <f>out!C79</f>
        <v>0</v>
      </c>
      <c r="E79" s="35">
        <f>out!D79</f>
        <v>0</v>
      </c>
      <c r="F79" s="35">
        <f>out!E79</f>
        <v>0</v>
      </c>
      <c r="G79" s="35">
        <f>out!F79</f>
        <v>0</v>
      </c>
      <c r="H79" s="38">
        <f>out!G79</f>
        <v>0</v>
      </c>
      <c r="I79" s="35">
        <f>out!H79</f>
        <v>0</v>
      </c>
      <c r="J79" s="35">
        <f>out!I79</f>
        <v>0</v>
      </c>
      <c r="K79" s="35">
        <f>out!J79</f>
        <v>0</v>
      </c>
      <c r="L79" s="35">
        <f>out!K79</f>
        <v>0</v>
      </c>
      <c r="M79" s="35">
        <f>out!L79</f>
        <v>0</v>
      </c>
      <c r="N79" s="35">
        <f>out!M79</f>
        <v>0</v>
      </c>
      <c r="O79" s="35">
        <f>out!N79</f>
        <v>0</v>
      </c>
      <c r="P79" s="35">
        <f>out!O79</f>
        <v>0</v>
      </c>
      <c r="Q79" s="35">
        <f>out!P79</f>
        <v>0</v>
      </c>
      <c r="R79" s="35">
        <f>out!Q79</f>
        <v>0</v>
      </c>
      <c r="S79" s="38">
        <f>out!R79</f>
        <v>0</v>
      </c>
      <c r="T79" s="35">
        <f>out!S79</f>
        <v>0</v>
      </c>
      <c r="U79" s="38">
        <f>out!T79</f>
        <v>0</v>
      </c>
      <c r="V79" s="35">
        <f>out!U79</f>
        <v>0</v>
      </c>
    </row>
    <row r="80" spans="1:22">
      <c r="A80" s="36">
        <f t="shared" si="1"/>
        <v>80</v>
      </c>
      <c r="B80" s="35">
        <f>out!A80</f>
        <v>0</v>
      </c>
      <c r="C80" s="35">
        <f>out!B80</f>
        <v>0</v>
      </c>
      <c r="D80" s="35">
        <f>out!C80</f>
        <v>0</v>
      </c>
      <c r="E80" s="35">
        <f>out!D80</f>
        <v>0</v>
      </c>
      <c r="F80" s="35">
        <f>out!E80</f>
        <v>0</v>
      </c>
      <c r="G80" s="35">
        <f>out!F80</f>
        <v>0</v>
      </c>
      <c r="H80" s="38">
        <f>out!G80</f>
        <v>0</v>
      </c>
      <c r="I80" s="35">
        <f>out!H80</f>
        <v>0</v>
      </c>
      <c r="J80" s="35">
        <f>out!I80</f>
        <v>0</v>
      </c>
      <c r="K80" s="35">
        <f>out!J80</f>
        <v>0</v>
      </c>
      <c r="L80" s="35">
        <f>out!K80</f>
        <v>0</v>
      </c>
      <c r="M80" s="35">
        <f>out!L80</f>
        <v>0</v>
      </c>
      <c r="N80" s="35">
        <f>out!M80</f>
        <v>0</v>
      </c>
      <c r="O80" s="35">
        <f>out!N80</f>
        <v>0</v>
      </c>
      <c r="P80" s="35">
        <f>out!O80</f>
        <v>0</v>
      </c>
      <c r="Q80" s="35">
        <f>out!P80</f>
        <v>0</v>
      </c>
      <c r="R80" s="35">
        <f>out!Q80</f>
        <v>0</v>
      </c>
      <c r="S80" s="38">
        <f>out!R80</f>
        <v>0</v>
      </c>
      <c r="T80" s="35">
        <f>out!S80</f>
        <v>0</v>
      </c>
      <c r="U80" s="38">
        <f>out!T80</f>
        <v>0</v>
      </c>
      <c r="V80" s="35">
        <f>out!U80</f>
        <v>0</v>
      </c>
    </row>
    <row r="81" spans="1:22">
      <c r="A81" s="36">
        <f t="shared" si="1"/>
        <v>81</v>
      </c>
      <c r="B81" s="35">
        <f>out!A81</f>
        <v>0</v>
      </c>
      <c r="C81" s="35">
        <f>out!B81</f>
        <v>0</v>
      </c>
      <c r="D81" s="35">
        <f>out!C81</f>
        <v>0</v>
      </c>
      <c r="E81" s="35">
        <f>out!D81</f>
        <v>0</v>
      </c>
      <c r="F81" s="35">
        <f>out!E81</f>
        <v>0</v>
      </c>
      <c r="G81" s="35">
        <f>out!F81</f>
        <v>0</v>
      </c>
      <c r="H81" s="38">
        <f>out!G81</f>
        <v>0</v>
      </c>
      <c r="I81" s="35">
        <f>out!H81</f>
        <v>0</v>
      </c>
      <c r="J81" s="35">
        <f>out!I81</f>
        <v>0</v>
      </c>
      <c r="K81" s="35">
        <f>out!J81</f>
        <v>0</v>
      </c>
      <c r="L81" s="35">
        <f>out!K81</f>
        <v>0</v>
      </c>
      <c r="M81" s="35">
        <f>out!L81</f>
        <v>0</v>
      </c>
      <c r="N81" s="35">
        <f>out!M81</f>
        <v>0</v>
      </c>
      <c r="O81" s="35">
        <f>out!N81</f>
        <v>0</v>
      </c>
      <c r="P81" s="35">
        <f>out!O81</f>
        <v>0</v>
      </c>
      <c r="Q81" s="35">
        <f>out!P81</f>
        <v>0</v>
      </c>
      <c r="R81" s="35">
        <f>out!Q81</f>
        <v>0</v>
      </c>
      <c r="S81" s="38">
        <f>out!R81</f>
        <v>0</v>
      </c>
      <c r="T81" s="35">
        <f>out!S81</f>
        <v>0</v>
      </c>
      <c r="U81" s="38">
        <f>out!T81</f>
        <v>0</v>
      </c>
      <c r="V81" s="35">
        <f>out!U81</f>
        <v>0</v>
      </c>
    </row>
    <row r="82" spans="1:22">
      <c r="A82" s="36">
        <f t="shared" si="1"/>
        <v>82</v>
      </c>
      <c r="B82" s="35">
        <f>out!A82</f>
        <v>0</v>
      </c>
      <c r="C82" s="35">
        <f>out!B82</f>
        <v>0</v>
      </c>
      <c r="D82" s="35">
        <f>out!C82</f>
        <v>0</v>
      </c>
      <c r="E82" s="35">
        <f>out!D82</f>
        <v>0</v>
      </c>
      <c r="F82" s="35">
        <f>out!E82</f>
        <v>0</v>
      </c>
      <c r="G82" s="35">
        <f>out!F82</f>
        <v>0</v>
      </c>
      <c r="H82" s="38">
        <f>out!G82</f>
        <v>0</v>
      </c>
      <c r="I82" s="35">
        <f>out!H82</f>
        <v>0</v>
      </c>
      <c r="J82" s="35">
        <f>out!I82</f>
        <v>0</v>
      </c>
      <c r="K82" s="35">
        <f>out!J82</f>
        <v>0</v>
      </c>
      <c r="L82" s="35">
        <f>out!K82</f>
        <v>0</v>
      </c>
      <c r="M82" s="35">
        <f>out!L82</f>
        <v>0</v>
      </c>
      <c r="N82" s="35">
        <f>out!M82</f>
        <v>0</v>
      </c>
      <c r="O82" s="35">
        <f>out!N82</f>
        <v>0</v>
      </c>
      <c r="P82" s="35">
        <f>out!O82</f>
        <v>0</v>
      </c>
      <c r="Q82" s="35">
        <f>out!P82</f>
        <v>0</v>
      </c>
      <c r="R82" s="35">
        <f>out!Q82</f>
        <v>0</v>
      </c>
      <c r="S82" s="38">
        <f>out!R82</f>
        <v>0</v>
      </c>
      <c r="T82" s="35">
        <f>out!S82</f>
        <v>0</v>
      </c>
      <c r="U82" s="38">
        <f>out!T82</f>
        <v>0</v>
      </c>
      <c r="V82" s="35">
        <f>out!U82</f>
        <v>0</v>
      </c>
    </row>
    <row r="83" spans="1:22">
      <c r="A83" s="36">
        <f t="shared" si="1"/>
        <v>83</v>
      </c>
      <c r="B83" s="35">
        <f>out!A83</f>
        <v>0</v>
      </c>
      <c r="C83" s="35">
        <f>out!B83</f>
        <v>0</v>
      </c>
      <c r="D83" s="35">
        <f>out!C83</f>
        <v>0</v>
      </c>
      <c r="E83" s="35">
        <f>out!D83</f>
        <v>0</v>
      </c>
      <c r="F83" s="35">
        <f>out!E83</f>
        <v>0</v>
      </c>
      <c r="G83" s="35">
        <f>out!F83</f>
        <v>0</v>
      </c>
      <c r="H83" s="38">
        <f>out!G83</f>
        <v>0</v>
      </c>
      <c r="I83" s="35">
        <f>out!H83</f>
        <v>0</v>
      </c>
      <c r="J83" s="35">
        <f>out!I83</f>
        <v>0</v>
      </c>
      <c r="K83" s="35">
        <f>out!J83</f>
        <v>0</v>
      </c>
      <c r="L83" s="35">
        <f>out!K83</f>
        <v>0</v>
      </c>
      <c r="M83" s="35">
        <f>out!L83</f>
        <v>0</v>
      </c>
      <c r="N83" s="35">
        <f>out!M83</f>
        <v>0</v>
      </c>
      <c r="O83" s="35">
        <f>out!N83</f>
        <v>0</v>
      </c>
      <c r="P83" s="35">
        <f>out!O83</f>
        <v>0</v>
      </c>
      <c r="Q83" s="35">
        <f>out!P83</f>
        <v>0</v>
      </c>
      <c r="R83" s="35">
        <f>out!Q83</f>
        <v>0</v>
      </c>
      <c r="S83" s="38">
        <f>out!R83</f>
        <v>0</v>
      </c>
      <c r="T83" s="35">
        <f>out!S83</f>
        <v>0</v>
      </c>
      <c r="U83" s="38">
        <f>out!T83</f>
        <v>0</v>
      </c>
      <c r="V83" s="35">
        <f>out!U83</f>
        <v>0</v>
      </c>
    </row>
    <row r="84" spans="1:22">
      <c r="A84" s="36">
        <f t="shared" si="1"/>
        <v>84</v>
      </c>
      <c r="B84" s="35">
        <f>out!A84</f>
        <v>0</v>
      </c>
      <c r="C84" s="35">
        <f>out!B84</f>
        <v>0</v>
      </c>
      <c r="D84" s="35">
        <f>out!C84</f>
        <v>0</v>
      </c>
      <c r="E84" s="35">
        <f>out!D84</f>
        <v>0</v>
      </c>
      <c r="F84" s="35">
        <f>out!E84</f>
        <v>0</v>
      </c>
      <c r="G84" s="35">
        <f>out!F84</f>
        <v>0</v>
      </c>
      <c r="H84" s="38">
        <f>out!G84</f>
        <v>0</v>
      </c>
      <c r="I84" s="35">
        <f>out!H84</f>
        <v>0</v>
      </c>
      <c r="J84" s="35">
        <f>out!I84</f>
        <v>0</v>
      </c>
      <c r="K84" s="35">
        <f>out!J84</f>
        <v>0</v>
      </c>
      <c r="L84" s="35">
        <f>out!K84</f>
        <v>0</v>
      </c>
      <c r="M84" s="35">
        <f>out!L84</f>
        <v>0</v>
      </c>
      <c r="N84" s="35">
        <f>out!M84</f>
        <v>0</v>
      </c>
      <c r="O84" s="35">
        <f>out!N84</f>
        <v>0</v>
      </c>
      <c r="P84" s="35">
        <f>out!O84</f>
        <v>0</v>
      </c>
      <c r="Q84" s="35">
        <f>out!P84</f>
        <v>0</v>
      </c>
      <c r="R84" s="35">
        <f>out!Q84</f>
        <v>0</v>
      </c>
      <c r="S84" s="38">
        <f>out!R84</f>
        <v>0</v>
      </c>
      <c r="T84" s="35">
        <f>out!S84</f>
        <v>0</v>
      </c>
      <c r="U84" s="38">
        <f>out!T84</f>
        <v>0</v>
      </c>
      <c r="V84" s="35">
        <f>out!U84</f>
        <v>0</v>
      </c>
    </row>
    <row r="85" spans="1:22">
      <c r="A85" s="36">
        <f t="shared" si="1"/>
        <v>85</v>
      </c>
      <c r="B85" s="35">
        <f>out!A85</f>
        <v>0</v>
      </c>
      <c r="C85" s="35">
        <f>out!B85</f>
        <v>0</v>
      </c>
      <c r="D85" s="35">
        <f>out!C85</f>
        <v>0</v>
      </c>
      <c r="E85" s="35">
        <f>out!D85</f>
        <v>0</v>
      </c>
      <c r="F85" s="35">
        <f>out!E85</f>
        <v>0</v>
      </c>
      <c r="G85" s="35">
        <f>out!F85</f>
        <v>0</v>
      </c>
      <c r="H85" s="38">
        <f>out!G85</f>
        <v>0</v>
      </c>
      <c r="I85" s="35">
        <f>out!H85</f>
        <v>0</v>
      </c>
      <c r="J85" s="35">
        <f>out!I85</f>
        <v>0</v>
      </c>
      <c r="K85" s="35">
        <f>out!J85</f>
        <v>0</v>
      </c>
      <c r="L85" s="35">
        <f>out!K85</f>
        <v>0</v>
      </c>
      <c r="M85" s="35">
        <f>out!L85</f>
        <v>0</v>
      </c>
      <c r="N85" s="35">
        <f>out!M85</f>
        <v>0</v>
      </c>
      <c r="O85" s="35">
        <f>out!N85</f>
        <v>0</v>
      </c>
      <c r="P85" s="35">
        <f>out!O85</f>
        <v>0</v>
      </c>
      <c r="Q85" s="35">
        <f>out!P85</f>
        <v>0</v>
      </c>
      <c r="R85" s="35">
        <f>out!Q85</f>
        <v>0</v>
      </c>
      <c r="S85" s="38">
        <f>out!R85</f>
        <v>0</v>
      </c>
      <c r="T85" s="35">
        <f>out!S85</f>
        <v>0</v>
      </c>
      <c r="U85" s="38">
        <f>out!T85</f>
        <v>0</v>
      </c>
      <c r="V85" s="35">
        <f>out!U85</f>
        <v>0</v>
      </c>
    </row>
    <row r="86" spans="1:22">
      <c r="A86" s="36">
        <f t="shared" si="1"/>
        <v>86</v>
      </c>
      <c r="B86" s="35">
        <f>out!A86</f>
        <v>0</v>
      </c>
      <c r="C86" s="35">
        <f>out!B86</f>
        <v>0</v>
      </c>
      <c r="D86" s="35">
        <f>out!C86</f>
        <v>0</v>
      </c>
      <c r="E86" s="35">
        <f>out!D86</f>
        <v>0</v>
      </c>
      <c r="F86" s="35">
        <f>out!E86</f>
        <v>0</v>
      </c>
      <c r="G86" s="35">
        <f>out!F86</f>
        <v>0</v>
      </c>
      <c r="H86" s="38">
        <f>out!G86</f>
        <v>0</v>
      </c>
      <c r="I86" s="35">
        <f>out!H86</f>
        <v>0</v>
      </c>
      <c r="J86" s="35">
        <f>out!I86</f>
        <v>0</v>
      </c>
      <c r="K86" s="35">
        <f>out!J86</f>
        <v>0</v>
      </c>
      <c r="L86" s="35">
        <f>out!K86</f>
        <v>0</v>
      </c>
      <c r="M86" s="35">
        <f>out!L86</f>
        <v>0</v>
      </c>
      <c r="N86" s="35">
        <f>out!M86</f>
        <v>0</v>
      </c>
      <c r="O86" s="35">
        <f>out!N86</f>
        <v>0</v>
      </c>
      <c r="P86" s="35">
        <f>out!O86</f>
        <v>0</v>
      </c>
      <c r="Q86" s="35">
        <f>out!P86</f>
        <v>0</v>
      </c>
      <c r="R86" s="35">
        <f>out!Q86</f>
        <v>0</v>
      </c>
      <c r="S86" s="38">
        <f>out!R86</f>
        <v>0</v>
      </c>
      <c r="T86" s="35">
        <f>out!S86</f>
        <v>0</v>
      </c>
      <c r="U86" s="38">
        <f>out!T86</f>
        <v>0</v>
      </c>
      <c r="V86" s="35">
        <f>out!U86</f>
        <v>0</v>
      </c>
    </row>
    <row r="87" spans="1:22">
      <c r="A87" s="36">
        <f t="shared" si="1"/>
        <v>87</v>
      </c>
      <c r="B87" s="35">
        <f>out!A87</f>
        <v>0</v>
      </c>
      <c r="C87" s="35">
        <f>out!B87</f>
        <v>0</v>
      </c>
      <c r="D87" s="35">
        <f>out!C87</f>
        <v>0</v>
      </c>
      <c r="E87" s="35">
        <f>out!D87</f>
        <v>0</v>
      </c>
      <c r="F87" s="35">
        <f>out!E87</f>
        <v>0</v>
      </c>
      <c r="G87" s="35">
        <f>out!F87</f>
        <v>0</v>
      </c>
      <c r="H87" s="38">
        <f>out!G87</f>
        <v>0</v>
      </c>
      <c r="I87" s="35">
        <f>out!H87</f>
        <v>0</v>
      </c>
      <c r="J87" s="35">
        <f>out!I87</f>
        <v>0</v>
      </c>
      <c r="K87" s="35">
        <f>out!J87</f>
        <v>0</v>
      </c>
      <c r="L87" s="35">
        <f>out!K87</f>
        <v>0</v>
      </c>
      <c r="M87" s="35">
        <f>out!L87</f>
        <v>0</v>
      </c>
      <c r="N87" s="35">
        <f>out!M87</f>
        <v>0</v>
      </c>
      <c r="O87" s="35">
        <f>out!N87</f>
        <v>0</v>
      </c>
      <c r="P87" s="35">
        <f>out!O87</f>
        <v>0</v>
      </c>
      <c r="Q87" s="35">
        <f>out!P87</f>
        <v>0</v>
      </c>
      <c r="R87" s="35">
        <f>out!Q87</f>
        <v>0</v>
      </c>
      <c r="S87" s="38">
        <f>out!R87</f>
        <v>0</v>
      </c>
      <c r="T87" s="35">
        <f>out!S87</f>
        <v>0</v>
      </c>
      <c r="U87" s="38">
        <f>out!T87</f>
        <v>0</v>
      </c>
      <c r="V87" s="35">
        <f>out!U87</f>
        <v>0</v>
      </c>
    </row>
    <row r="88" spans="1:22">
      <c r="A88" s="36">
        <f t="shared" si="1"/>
        <v>88</v>
      </c>
      <c r="B88" s="35">
        <f>out!A88</f>
        <v>0</v>
      </c>
      <c r="C88" s="35">
        <f>out!B88</f>
        <v>0</v>
      </c>
      <c r="D88" s="35">
        <f>out!C88</f>
        <v>0</v>
      </c>
      <c r="E88" s="35">
        <f>out!D88</f>
        <v>0</v>
      </c>
      <c r="F88" s="35">
        <f>out!E88</f>
        <v>0</v>
      </c>
      <c r="G88" s="35">
        <f>out!F88</f>
        <v>0</v>
      </c>
      <c r="H88" s="38">
        <f>out!G88</f>
        <v>0</v>
      </c>
      <c r="I88" s="35">
        <f>out!H88</f>
        <v>0</v>
      </c>
      <c r="J88" s="35">
        <f>out!I88</f>
        <v>0</v>
      </c>
      <c r="K88" s="35">
        <f>out!J88</f>
        <v>0</v>
      </c>
      <c r="L88" s="35">
        <f>out!K88</f>
        <v>0</v>
      </c>
      <c r="M88" s="35">
        <f>out!L88</f>
        <v>0</v>
      </c>
      <c r="N88" s="35">
        <f>out!M88</f>
        <v>0</v>
      </c>
      <c r="O88" s="35">
        <f>out!N88</f>
        <v>0</v>
      </c>
      <c r="P88" s="35">
        <f>out!O88</f>
        <v>0</v>
      </c>
      <c r="Q88" s="35">
        <f>out!P88</f>
        <v>0</v>
      </c>
      <c r="R88" s="35">
        <f>out!Q88</f>
        <v>0</v>
      </c>
      <c r="S88" s="38">
        <f>out!R88</f>
        <v>0</v>
      </c>
      <c r="T88" s="35">
        <f>out!S88</f>
        <v>0</v>
      </c>
      <c r="U88" s="38">
        <f>out!T88</f>
        <v>0</v>
      </c>
      <c r="V88" s="35">
        <f>out!U88</f>
        <v>0</v>
      </c>
    </row>
    <row r="89" spans="1:22">
      <c r="A89" s="36">
        <f t="shared" si="1"/>
        <v>89</v>
      </c>
      <c r="B89" s="35">
        <f>out!A89</f>
        <v>0</v>
      </c>
      <c r="C89" s="35">
        <f>out!B89</f>
        <v>0</v>
      </c>
      <c r="D89" s="35">
        <f>out!C89</f>
        <v>0</v>
      </c>
      <c r="E89" s="35">
        <f>out!D89</f>
        <v>0</v>
      </c>
      <c r="F89" s="35">
        <f>out!E89</f>
        <v>0</v>
      </c>
      <c r="G89" s="35">
        <f>out!F89</f>
        <v>0</v>
      </c>
      <c r="H89" s="38">
        <f>out!G89</f>
        <v>0</v>
      </c>
      <c r="I89" s="35">
        <f>out!H89</f>
        <v>0</v>
      </c>
      <c r="J89" s="35">
        <f>out!I89</f>
        <v>0</v>
      </c>
      <c r="K89" s="35">
        <f>out!J89</f>
        <v>0</v>
      </c>
      <c r="L89" s="35">
        <f>out!K89</f>
        <v>0</v>
      </c>
      <c r="M89" s="35">
        <f>out!L89</f>
        <v>0</v>
      </c>
      <c r="N89" s="35">
        <f>out!M89</f>
        <v>0</v>
      </c>
      <c r="O89" s="35">
        <f>out!N89</f>
        <v>0</v>
      </c>
      <c r="P89" s="35">
        <f>out!O89</f>
        <v>0</v>
      </c>
      <c r="Q89" s="35">
        <f>out!P89</f>
        <v>0</v>
      </c>
      <c r="R89" s="35">
        <f>out!Q89</f>
        <v>0</v>
      </c>
      <c r="S89" s="38">
        <f>out!R89</f>
        <v>0</v>
      </c>
      <c r="T89" s="35">
        <f>out!S89</f>
        <v>0</v>
      </c>
      <c r="U89" s="38">
        <f>out!T89</f>
        <v>0</v>
      </c>
      <c r="V89" s="35">
        <f>out!U89</f>
        <v>0</v>
      </c>
    </row>
    <row r="90" spans="1:22">
      <c r="A90" s="36">
        <f t="shared" si="1"/>
        <v>90</v>
      </c>
      <c r="B90" s="35">
        <f>out!A90</f>
        <v>0</v>
      </c>
      <c r="C90" s="35">
        <f>out!B90</f>
        <v>0</v>
      </c>
      <c r="D90" s="35">
        <f>out!C90</f>
        <v>0</v>
      </c>
      <c r="E90" s="35">
        <f>out!D90</f>
        <v>0</v>
      </c>
      <c r="F90" s="35">
        <f>out!E90</f>
        <v>0</v>
      </c>
      <c r="G90" s="35">
        <f>out!F90</f>
        <v>0</v>
      </c>
      <c r="H90" s="38">
        <f>out!G90</f>
        <v>0</v>
      </c>
      <c r="I90" s="35">
        <f>out!H90</f>
        <v>0</v>
      </c>
      <c r="J90" s="35">
        <f>out!I90</f>
        <v>0</v>
      </c>
      <c r="K90" s="35">
        <f>out!J90</f>
        <v>0</v>
      </c>
      <c r="L90" s="35">
        <f>out!K90</f>
        <v>0</v>
      </c>
      <c r="M90" s="35">
        <f>out!L90</f>
        <v>0</v>
      </c>
      <c r="N90" s="35">
        <f>out!M90</f>
        <v>0</v>
      </c>
      <c r="O90" s="35">
        <f>out!N90</f>
        <v>0</v>
      </c>
      <c r="P90" s="35">
        <f>out!O90</f>
        <v>0</v>
      </c>
      <c r="Q90" s="35">
        <f>out!P90</f>
        <v>0</v>
      </c>
      <c r="R90" s="35">
        <f>out!Q90</f>
        <v>0</v>
      </c>
      <c r="S90" s="38">
        <f>out!R90</f>
        <v>0</v>
      </c>
      <c r="T90" s="35">
        <f>out!S90</f>
        <v>0</v>
      </c>
      <c r="U90" s="38">
        <f>out!T90</f>
        <v>0</v>
      </c>
      <c r="V90" s="35">
        <f>out!U90</f>
        <v>0</v>
      </c>
    </row>
    <row r="91" spans="1:22">
      <c r="A91" s="36">
        <f t="shared" si="1"/>
        <v>91</v>
      </c>
      <c r="B91" s="35">
        <f>out!A91</f>
        <v>0</v>
      </c>
      <c r="C91" s="35">
        <f>out!B91</f>
        <v>0</v>
      </c>
      <c r="D91" s="35">
        <f>out!C91</f>
        <v>0</v>
      </c>
      <c r="E91" s="35">
        <f>out!D91</f>
        <v>0</v>
      </c>
      <c r="F91" s="35">
        <f>out!E91</f>
        <v>0</v>
      </c>
      <c r="G91" s="35">
        <f>out!F91</f>
        <v>0</v>
      </c>
      <c r="H91" s="38">
        <f>out!G91</f>
        <v>0</v>
      </c>
      <c r="I91" s="35">
        <f>out!H91</f>
        <v>0</v>
      </c>
      <c r="J91" s="35">
        <f>out!I91</f>
        <v>0</v>
      </c>
      <c r="K91" s="35">
        <f>out!J91</f>
        <v>0</v>
      </c>
      <c r="L91" s="35">
        <f>out!K91</f>
        <v>0</v>
      </c>
      <c r="M91" s="35">
        <f>out!L91</f>
        <v>0</v>
      </c>
      <c r="N91" s="35">
        <f>out!M91</f>
        <v>0</v>
      </c>
      <c r="O91" s="35">
        <f>out!N91</f>
        <v>0</v>
      </c>
      <c r="P91" s="35">
        <f>out!O91</f>
        <v>0</v>
      </c>
      <c r="Q91" s="35">
        <f>out!P91</f>
        <v>0</v>
      </c>
      <c r="R91" s="35">
        <f>out!Q91</f>
        <v>0</v>
      </c>
      <c r="S91" s="38">
        <f>out!R91</f>
        <v>0</v>
      </c>
      <c r="T91" s="35">
        <f>out!S91</f>
        <v>0</v>
      </c>
      <c r="U91" s="38">
        <f>out!T91</f>
        <v>0</v>
      </c>
      <c r="V91" s="35">
        <f>out!U91</f>
        <v>0</v>
      </c>
    </row>
    <row r="92" spans="1:22">
      <c r="A92" s="36">
        <f t="shared" si="1"/>
        <v>92</v>
      </c>
      <c r="B92" s="35">
        <f>out!A92</f>
        <v>0</v>
      </c>
      <c r="C92" s="35">
        <f>out!B92</f>
        <v>0</v>
      </c>
      <c r="D92" s="35">
        <f>out!C92</f>
        <v>0</v>
      </c>
      <c r="E92" s="35">
        <f>out!D92</f>
        <v>0</v>
      </c>
      <c r="F92" s="35">
        <f>out!E92</f>
        <v>0</v>
      </c>
      <c r="G92" s="35">
        <f>out!F92</f>
        <v>0</v>
      </c>
      <c r="H92" s="38">
        <f>out!G92</f>
        <v>0</v>
      </c>
      <c r="I92" s="35">
        <f>out!H92</f>
        <v>0</v>
      </c>
      <c r="J92" s="35">
        <f>out!I92</f>
        <v>0</v>
      </c>
      <c r="K92" s="35">
        <f>out!J92</f>
        <v>0</v>
      </c>
      <c r="L92" s="35">
        <f>out!K92</f>
        <v>0</v>
      </c>
      <c r="M92" s="35">
        <f>out!L92</f>
        <v>0</v>
      </c>
      <c r="N92" s="35">
        <f>out!M92</f>
        <v>0</v>
      </c>
      <c r="O92" s="35">
        <f>out!N92</f>
        <v>0</v>
      </c>
      <c r="P92" s="35">
        <f>out!O92</f>
        <v>0</v>
      </c>
      <c r="Q92" s="35">
        <f>out!P92</f>
        <v>0</v>
      </c>
      <c r="R92" s="35">
        <f>out!Q92</f>
        <v>0</v>
      </c>
      <c r="S92" s="38">
        <f>out!R92</f>
        <v>0</v>
      </c>
      <c r="T92" s="35">
        <f>out!S92</f>
        <v>0</v>
      </c>
      <c r="U92" s="38">
        <f>out!T92</f>
        <v>0</v>
      </c>
      <c r="V92" s="35">
        <f>out!U92</f>
        <v>0</v>
      </c>
    </row>
    <row r="93" spans="1:22">
      <c r="A93" s="36">
        <f t="shared" si="1"/>
        <v>93</v>
      </c>
      <c r="B93" s="35">
        <f>out!A93</f>
        <v>0</v>
      </c>
      <c r="C93" s="35">
        <f>out!B93</f>
        <v>0</v>
      </c>
      <c r="D93" s="35">
        <f>out!C93</f>
        <v>0</v>
      </c>
      <c r="E93" s="35">
        <f>out!D93</f>
        <v>0</v>
      </c>
      <c r="F93" s="35">
        <f>out!E93</f>
        <v>0</v>
      </c>
      <c r="G93" s="35">
        <f>out!F93</f>
        <v>0</v>
      </c>
      <c r="H93" s="38">
        <f>out!G93</f>
        <v>0</v>
      </c>
      <c r="I93" s="35">
        <f>out!H93</f>
        <v>0</v>
      </c>
      <c r="J93" s="35">
        <f>out!I93</f>
        <v>0</v>
      </c>
      <c r="K93" s="35">
        <f>out!J93</f>
        <v>0</v>
      </c>
      <c r="L93" s="35">
        <f>out!K93</f>
        <v>0</v>
      </c>
      <c r="M93" s="35">
        <f>out!L93</f>
        <v>0</v>
      </c>
      <c r="N93" s="35">
        <f>out!M93</f>
        <v>0</v>
      </c>
      <c r="O93" s="35">
        <f>out!N93</f>
        <v>0</v>
      </c>
      <c r="P93" s="35">
        <f>out!O93</f>
        <v>0</v>
      </c>
      <c r="Q93" s="35">
        <f>out!P93</f>
        <v>0</v>
      </c>
      <c r="R93" s="35">
        <f>out!Q93</f>
        <v>0</v>
      </c>
      <c r="S93" s="38">
        <f>out!R93</f>
        <v>0</v>
      </c>
      <c r="T93" s="35">
        <f>out!S93</f>
        <v>0</v>
      </c>
      <c r="U93" s="38">
        <f>out!T93</f>
        <v>0</v>
      </c>
      <c r="V93" s="35">
        <f>out!U93</f>
        <v>0</v>
      </c>
    </row>
    <row r="94" spans="1:22">
      <c r="A94" s="36">
        <f t="shared" si="1"/>
        <v>94</v>
      </c>
      <c r="B94" s="35">
        <f>out!A94</f>
        <v>0</v>
      </c>
      <c r="C94" s="35">
        <f>out!B94</f>
        <v>0</v>
      </c>
      <c r="D94" s="35">
        <f>out!C94</f>
        <v>0</v>
      </c>
      <c r="E94" s="35">
        <f>out!D94</f>
        <v>0</v>
      </c>
      <c r="F94" s="35">
        <f>out!E94</f>
        <v>0</v>
      </c>
      <c r="G94" s="35">
        <f>out!F94</f>
        <v>0</v>
      </c>
      <c r="H94" s="38">
        <f>out!G94</f>
        <v>0</v>
      </c>
      <c r="I94" s="35">
        <f>out!H94</f>
        <v>0</v>
      </c>
      <c r="J94" s="35">
        <f>out!I94</f>
        <v>0</v>
      </c>
      <c r="K94" s="35">
        <f>out!J94</f>
        <v>0</v>
      </c>
      <c r="L94" s="35">
        <f>out!K94</f>
        <v>0</v>
      </c>
      <c r="M94" s="35">
        <f>out!L94</f>
        <v>0</v>
      </c>
      <c r="N94" s="35">
        <f>out!M94</f>
        <v>0</v>
      </c>
      <c r="O94" s="35">
        <f>out!N94</f>
        <v>0</v>
      </c>
      <c r="P94" s="35">
        <f>out!O94</f>
        <v>0</v>
      </c>
      <c r="Q94" s="35">
        <f>out!P94</f>
        <v>0</v>
      </c>
      <c r="R94" s="35">
        <f>out!Q94</f>
        <v>0</v>
      </c>
      <c r="S94" s="38">
        <f>out!R94</f>
        <v>0</v>
      </c>
      <c r="T94" s="35">
        <f>out!S94</f>
        <v>0</v>
      </c>
      <c r="U94" s="38">
        <f>out!T94</f>
        <v>0</v>
      </c>
      <c r="V94" s="35">
        <f>out!U94</f>
        <v>0</v>
      </c>
    </row>
    <row r="95" spans="1:22">
      <c r="A95" s="36">
        <f t="shared" si="1"/>
        <v>95</v>
      </c>
      <c r="B95" s="35">
        <f>out!A95</f>
        <v>0</v>
      </c>
      <c r="C95" s="35">
        <f>out!B95</f>
        <v>0</v>
      </c>
      <c r="D95" s="35">
        <f>out!C95</f>
        <v>0</v>
      </c>
      <c r="E95" s="35">
        <f>out!D95</f>
        <v>0</v>
      </c>
      <c r="F95" s="35">
        <f>out!E95</f>
        <v>0</v>
      </c>
      <c r="G95" s="35">
        <f>out!F95</f>
        <v>0</v>
      </c>
      <c r="H95" s="38">
        <f>out!G95</f>
        <v>0</v>
      </c>
      <c r="I95" s="35">
        <f>out!H95</f>
        <v>0</v>
      </c>
      <c r="J95" s="35">
        <f>out!I95</f>
        <v>0</v>
      </c>
      <c r="K95" s="35">
        <f>out!J95</f>
        <v>0</v>
      </c>
      <c r="L95" s="35">
        <f>out!K95</f>
        <v>0</v>
      </c>
      <c r="M95" s="35">
        <f>out!L95</f>
        <v>0</v>
      </c>
      <c r="N95" s="35">
        <f>out!M95</f>
        <v>0</v>
      </c>
      <c r="O95" s="35">
        <f>out!N95</f>
        <v>0</v>
      </c>
      <c r="P95" s="35">
        <f>out!O95</f>
        <v>0</v>
      </c>
      <c r="Q95" s="35">
        <f>out!P95</f>
        <v>0</v>
      </c>
      <c r="R95" s="35">
        <f>out!Q95</f>
        <v>0</v>
      </c>
      <c r="S95" s="38">
        <f>out!R95</f>
        <v>0</v>
      </c>
      <c r="T95" s="35">
        <f>out!S95</f>
        <v>0</v>
      </c>
      <c r="U95" s="38">
        <f>out!T95</f>
        <v>0</v>
      </c>
      <c r="V95" s="35">
        <f>out!U95</f>
        <v>0</v>
      </c>
    </row>
    <row r="96" spans="1:22">
      <c r="A96" s="36">
        <f t="shared" si="1"/>
        <v>96</v>
      </c>
      <c r="B96" s="35">
        <f>out!A96</f>
        <v>0</v>
      </c>
      <c r="C96" s="35">
        <f>out!B96</f>
        <v>0</v>
      </c>
      <c r="D96" s="35">
        <f>out!C96</f>
        <v>0</v>
      </c>
      <c r="E96" s="35">
        <f>out!D96</f>
        <v>0</v>
      </c>
      <c r="F96" s="35">
        <f>out!E96</f>
        <v>0</v>
      </c>
      <c r="G96" s="35">
        <f>out!F96</f>
        <v>0</v>
      </c>
      <c r="H96" s="38">
        <f>out!G96</f>
        <v>0</v>
      </c>
      <c r="I96" s="35">
        <f>out!H96</f>
        <v>0</v>
      </c>
      <c r="J96" s="35">
        <f>out!I96</f>
        <v>0</v>
      </c>
      <c r="K96" s="35">
        <f>out!J96</f>
        <v>0</v>
      </c>
      <c r="L96" s="35">
        <f>out!K96</f>
        <v>0</v>
      </c>
      <c r="M96" s="35">
        <f>out!L96</f>
        <v>0</v>
      </c>
      <c r="N96" s="35">
        <f>out!M96</f>
        <v>0</v>
      </c>
      <c r="O96" s="35">
        <f>out!N96</f>
        <v>0</v>
      </c>
      <c r="P96" s="35">
        <f>out!O96</f>
        <v>0</v>
      </c>
      <c r="Q96" s="35">
        <f>out!P96</f>
        <v>0</v>
      </c>
      <c r="R96" s="35">
        <f>out!Q96</f>
        <v>0</v>
      </c>
      <c r="S96" s="38">
        <f>out!R96</f>
        <v>0</v>
      </c>
      <c r="T96" s="35">
        <f>out!S96</f>
        <v>0</v>
      </c>
      <c r="U96" s="38">
        <f>out!T96</f>
        <v>0</v>
      </c>
      <c r="V96" s="35">
        <f>out!U96</f>
        <v>0</v>
      </c>
    </row>
    <row r="97" spans="1:22">
      <c r="A97" s="36">
        <f t="shared" si="1"/>
        <v>97</v>
      </c>
      <c r="B97" s="35">
        <f>out!A97</f>
        <v>0</v>
      </c>
      <c r="C97" s="35">
        <f>out!B97</f>
        <v>0</v>
      </c>
      <c r="D97" s="35">
        <f>out!C97</f>
        <v>0</v>
      </c>
      <c r="E97" s="35">
        <f>out!D97</f>
        <v>0</v>
      </c>
      <c r="F97" s="35">
        <f>out!E97</f>
        <v>0</v>
      </c>
      <c r="G97" s="35">
        <f>out!F97</f>
        <v>0</v>
      </c>
      <c r="H97" s="38">
        <f>out!G97</f>
        <v>0</v>
      </c>
      <c r="I97" s="35">
        <f>out!H97</f>
        <v>0</v>
      </c>
      <c r="J97" s="35">
        <f>out!I97</f>
        <v>0</v>
      </c>
      <c r="K97" s="35">
        <f>out!J97</f>
        <v>0</v>
      </c>
      <c r="L97" s="35">
        <f>out!K97</f>
        <v>0</v>
      </c>
      <c r="M97" s="35">
        <f>out!L97</f>
        <v>0</v>
      </c>
      <c r="N97" s="35">
        <f>out!M97</f>
        <v>0</v>
      </c>
      <c r="O97" s="35">
        <f>out!N97</f>
        <v>0</v>
      </c>
      <c r="P97" s="35">
        <f>out!O97</f>
        <v>0</v>
      </c>
      <c r="Q97" s="35">
        <f>out!P97</f>
        <v>0</v>
      </c>
      <c r="R97" s="35">
        <f>out!Q97</f>
        <v>0</v>
      </c>
      <c r="S97" s="38">
        <f>out!R97</f>
        <v>0</v>
      </c>
      <c r="T97" s="35">
        <f>out!S97</f>
        <v>0</v>
      </c>
      <c r="U97" s="38">
        <f>out!T97</f>
        <v>0</v>
      </c>
      <c r="V97" s="35">
        <f>out!U97</f>
        <v>0</v>
      </c>
    </row>
    <row r="98" spans="1:22">
      <c r="A98" s="36">
        <f t="shared" si="1"/>
        <v>98</v>
      </c>
      <c r="B98" s="35">
        <f>out!A98</f>
        <v>0</v>
      </c>
      <c r="C98" s="35">
        <f>out!B98</f>
        <v>0</v>
      </c>
      <c r="D98" s="35">
        <f>out!C98</f>
        <v>0</v>
      </c>
      <c r="E98" s="35">
        <f>out!D98</f>
        <v>0</v>
      </c>
      <c r="F98" s="35">
        <f>out!E98</f>
        <v>0</v>
      </c>
      <c r="G98" s="35">
        <f>out!F98</f>
        <v>0</v>
      </c>
      <c r="H98" s="38">
        <f>out!G98</f>
        <v>0</v>
      </c>
      <c r="I98" s="35">
        <f>out!H98</f>
        <v>0</v>
      </c>
      <c r="J98" s="35">
        <f>out!I98</f>
        <v>0</v>
      </c>
      <c r="K98" s="35">
        <f>out!J98</f>
        <v>0</v>
      </c>
      <c r="L98" s="35">
        <f>out!K98</f>
        <v>0</v>
      </c>
      <c r="M98" s="35">
        <f>out!L98</f>
        <v>0</v>
      </c>
      <c r="N98" s="35">
        <f>out!M98</f>
        <v>0</v>
      </c>
      <c r="O98" s="35">
        <f>out!N98</f>
        <v>0</v>
      </c>
      <c r="P98" s="35">
        <f>out!O98</f>
        <v>0</v>
      </c>
      <c r="Q98" s="35">
        <f>out!P98</f>
        <v>0</v>
      </c>
      <c r="R98" s="35">
        <f>out!Q98</f>
        <v>0</v>
      </c>
      <c r="S98" s="38">
        <f>out!R98</f>
        <v>0</v>
      </c>
      <c r="T98" s="35">
        <f>out!S98</f>
        <v>0</v>
      </c>
      <c r="U98" s="38">
        <f>out!T98</f>
        <v>0</v>
      </c>
      <c r="V98" s="35">
        <f>out!U98</f>
        <v>0</v>
      </c>
    </row>
    <row r="99" spans="1:22">
      <c r="A99" s="36">
        <f t="shared" si="1"/>
        <v>99</v>
      </c>
      <c r="B99" s="35">
        <f>out!A99</f>
        <v>0</v>
      </c>
      <c r="C99" s="35">
        <f>out!B99</f>
        <v>0</v>
      </c>
      <c r="D99" s="35">
        <f>out!C99</f>
        <v>0</v>
      </c>
      <c r="E99" s="35">
        <f>out!D99</f>
        <v>0</v>
      </c>
      <c r="F99" s="35">
        <f>out!E99</f>
        <v>0</v>
      </c>
      <c r="G99" s="35">
        <f>out!F99</f>
        <v>0</v>
      </c>
      <c r="H99" s="38">
        <f>out!G99</f>
        <v>0</v>
      </c>
      <c r="I99" s="35">
        <f>out!H99</f>
        <v>0</v>
      </c>
      <c r="J99" s="35">
        <f>out!I99</f>
        <v>0</v>
      </c>
      <c r="K99" s="35">
        <f>out!J99</f>
        <v>0</v>
      </c>
      <c r="L99" s="35">
        <f>out!K99</f>
        <v>0</v>
      </c>
      <c r="M99" s="35">
        <f>out!L99</f>
        <v>0</v>
      </c>
      <c r="N99" s="35">
        <f>out!M99</f>
        <v>0</v>
      </c>
      <c r="O99" s="35">
        <f>out!N99</f>
        <v>0</v>
      </c>
      <c r="P99" s="35">
        <f>out!O99</f>
        <v>0</v>
      </c>
      <c r="Q99" s="35">
        <f>out!P99</f>
        <v>0</v>
      </c>
      <c r="R99" s="35">
        <f>out!Q99</f>
        <v>0</v>
      </c>
      <c r="S99" s="38">
        <f>out!R99</f>
        <v>0</v>
      </c>
      <c r="T99" s="35">
        <f>out!S99</f>
        <v>0</v>
      </c>
      <c r="U99" s="38">
        <f>out!T99</f>
        <v>0</v>
      </c>
      <c r="V99" s="35">
        <f>out!U99</f>
        <v>0</v>
      </c>
    </row>
    <row r="100" spans="1:22">
      <c r="A100" s="36">
        <f t="shared" si="1"/>
        <v>100</v>
      </c>
      <c r="B100" s="35">
        <f>out!A100</f>
        <v>0</v>
      </c>
      <c r="C100" s="35">
        <f>out!B100</f>
        <v>0</v>
      </c>
      <c r="D100" s="35">
        <f>out!C100</f>
        <v>0</v>
      </c>
      <c r="E100" s="35">
        <f>out!D100</f>
        <v>0</v>
      </c>
      <c r="F100" s="35">
        <f>out!E100</f>
        <v>0</v>
      </c>
      <c r="G100" s="35">
        <f>out!F100</f>
        <v>0</v>
      </c>
      <c r="H100" s="38">
        <f>out!G100</f>
        <v>0</v>
      </c>
      <c r="I100" s="35">
        <f>out!H100</f>
        <v>0</v>
      </c>
      <c r="J100" s="35">
        <f>out!I100</f>
        <v>0</v>
      </c>
      <c r="K100" s="35">
        <f>out!J100</f>
        <v>0</v>
      </c>
      <c r="L100" s="35">
        <f>out!K100</f>
        <v>0</v>
      </c>
      <c r="M100" s="35">
        <f>out!L100</f>
        <v>0</v>
      </c>
      <c r="N100" s="35">
        <f>out!M100</f>
        <v>0</v>
      </c>
      <c r="O100" s="35">
        <f>out!N100</f>
        <v>0</v>
      </c>
      <c r="P100" s="35">
        <f>out!O100</f>
        <v>0</v>
      </c>
      <c r="Q100" s="35">
        <f>out!P100</f>
        <v>0</v>
      </c>
      <c r="R100" s="35">
        <f>out!Q100</f>
        <v>0</v>
      </c>
      <c r="S100" s="38">
        <f>out!R100</f>
        <v>0</v>
      </c>
      <c r="T100" s="35">
        <f>out!S100</f>
        <v>0</v>
      </c>
      <c r="U100" s="38">
        <f>out!T100</f>
        <v>0</v>
      </c>
      <c r="V100" s="35">
        <f>out!U100</f>
        <v>0</v>
      </c>
    </row>
  </sheetData>
  <phoneticPr fontId="3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 tint="0.79998168889431442"/>
  </sheetPr>
  <dimension ref="A1:X32"/>
  <sheetViews>
    <sheetView zoomScale="90" zoomScaleNormal="90" workbookViewId="0">
      <selection activeCell="D1" sqref="D1"/>
    </sheetView>
  </sheetViews>
  <sheetFormatPr defaultRowHeight="13.5"/>
  <cols>
    <col min="1" max="16384" width="9" style="1"/>
  </cols>
  <sheetData>
    <row r="1" spans="1:24">
      <c r="A1" s="1" t="s">
        <v>161</v>
      </c>
      <c r="B1" s="1" t="s">
        <v>162</v>
      </c>
    </row>
    <row r="2" spans="1:24">
      <c r="A2" s="1" t="s">
        <v>163</v>
      </c>
      <c r="G2" s="1" t="s">
        <v>171</v>
      </c>
      <c r="H2" s="1" t="s">
        <v>175</v>
      </c>
      <c r="Q2" s="1" t="s">
        <v>183</v>
      </c>
      <c r="V2" s="1" t="s">
        <v>186</v>
      </c>
    </row>
    <row r="3" spans="1:24">
      <c r="A3" s="1" t="s">
        <v>188</v>
      </c>
      <c r="G3" s="1" t="s">
        <v>173</v>
      </c>
      <c r="H3" s="1" t="s">
        <v>177</v>
      </c>
      <c r="I3" s="1" t="s">
        <v>179</v>
      </c>
      <c r="J3" s="1" t="s">
        <v>80</v>
      </c>
      <c r="K3" s="1" t="s">
        <v>93</v>
      </c>
      <c r="L3" s="1" t="s">
        <v>185</v>
      </c>
      <c r="M3" s="1" t="s">
        <v>93</v>
      </c>
      <c r="N3" s="1" t="s">
        <v>80</v>
      </c>
      <c r="O3" s="1" t="s">
        <v>179</v>
      </c>
      <c r="P3" s="1" t="s">
        <v>181</v>
      </c>
      <c r="Q3" s="1" t="s">
        <v>177</v>
      </c>
      <c r="R3" s="1" t="s">
        <v>80</v>
      </c>
      <c r="S3" s="1" t="s">
        <v>185</v>
      </c>
      <c r="T3" s="1" t="s">
        <v>80</v>
      </c>
      <c r="U3" s="1" t="s">
        <v>181</v>
      </c>
      <c r="V3" s="1" t="s">
        <v>177</v>
      </c>
      <c r="W3" s="1" t="s">
        <v>187</v>
      </c>
      <c r="X3" s="1" t="s">
        <v>181</v>
      </c>
    </row>
    <row r="4" spans="1:24">
      <c r="A4" s="1" t="s">
        <v>164</v>
      </c>
      <c r="B4" s="1" t="s">
        <v>165</v>
      </c>
      <c r="C4" s="1" t="s">
        <v>167</v>
      </c>
      <c r="D4" s="1" t="s">
        <v>166</v>
      </c>
      <c r="E4" s="1" t="s">
        <v>168</v>
      </c>
      <c r="F4" s="1" t="s">
        <v>169</v>
      </c>
      <c r="G4" s="1" t="s">
        <v>81</v>
      </c>
      <c r="H4" s="1" t="s">
        <v>82</v>
      </c>
      <c r="I4" s="1" t="s">
        <v>82</v>
      </c>
      <c r="J4" s="1" t="s">
        <v>82</v>
      </c>
      <c r="K4" s="1" t="s">
        <v>82</v>
      </c>
      <c r="L4" s="1" t="s">
        <v>82</v>
      </c>
      <c r="M4" s="1" t="s">
        <v>82</v>
      </c>
      <c r="N4" s="1" t="s">
        <v>82</v>
      </c>
      <c r="O4" s="1" t="s">
        <v>82</v>
      </c>
      <c r="P4" s="1" t="s">
        <v>82</v>
      </c>
      <c r="Q4" s="1" t="s">
        <v>83</v>
      </c>
      <c r="R4" s="1" t="s">
        <v>83</v>
      </c>
      <c r="S4" s="1" t="s">
        <v>83</v>
      </c>
      <c r="T4" s="1" t="s">
        <v>83</v>
      </c>
      <c r="U4" s="1" t="s">
        <v>83</v>
      </c>
      <c r="V4" s="1" t="s">
        <v>83</v>
      </c>
      <c r="W4" s="1" t="s">
        <v>83</v>
      </c>
      <c r="X4" s="1" t="s">
        <v>83</v>
      </c>
    </row>
    <row r="5" spans="1:24" s="36" customFormat="1">
      <c r="A5" s="36" t="s">
        <v>84</v>
      </c>
      <c r="B5" s="36" t="s">
        <v>94</v>
      </c>
      <c r="C5" s="36">
        <v>1</v>
      </c>
      <c r="D5" s="36">
        <v>2</v>
      </c>
      <c r="E5" s="36" t="s">
        <v>121</v>
      </c>
      <c r="F5" s="36" t="s">
        <v>85</v>
      </c>
      <c r="G5" s="36">
        <v>7000</v>
      </c>
      <c r="H5" s="36">
        <v>43</v>
      </c>
      <c r="J5" s="36">
        <v>39</v>
      </c>
      <c r="L5" s="36">
        <v>-53</v>
      </c>
      <c r="N5" s="36">
        <v>57</v>
      </c>
      <c r="P5" s="36">
        <v>61</v>
      </c>
      <c r="Q5" s="36">
        <v>66</v>
      </c>
      <c r="R5" s="36">
        <v>66</v>
      </c>
      <c r="T5" s="36">
        <v>72</v>
      </c>
      <c r="U5" s="36">
        <v>72</v>
      </c>
      <c r="V5" s="36">
        <v>0</v>
      </c>
      <c r="W5" s="36">
        <v>0</v>
      </c>
      <c r="X5" s="36">
        <v>0</v>
      </c>
    </row>
    <row r="6" spans="1:24" s="36" customFormat="1">
      <c r="A6" s="36" t="s">
        <v>84</v>
      </c>
      <c r="B6" s="36" t="s">
        <v>94</v>
      </c>
      <c r="C6" s="36">
        <v>2</v>
      </c>
      <c r="D6" s="36">
        <v>3</v>
      </c>
      <c r="E6" s="36" t="s">
        <v>121</v>
      </c>
      <c r="F6" s="36" t="s">
        <v>85</v>
      </c>
      <c r="G6" s="36">
        <v>7000</v>
      </c>
      <c r="H6" s="36">
        <v>61</v>
      </c>
      <c r="J6" s="36">
        <v>57</v>
      </c>
      <c r="L6" s="36">
        <v>-53</v>
      </c>
      <c r="N6" s="36">
        <v>39</v>
      </c>
      <c r="P6" s="36">
        <v>43</v>
      </c>
      <c r="Q6" s="36">
        <v>72</v>
      </c>
      <c r="R6" s="36">
        <v>72</v>
      </c>
      <c r="T6" s="36">
        <v>66</v>
      </c>
      <c r="U6" s="36">
        <v>66</v>
      </c>
      <c r="V6" s="36">
        <v>0</v>
      </c>
      <c r="W6" s="36">
        <v>0</v>
      </c>
      <c r="X6" s="36">
        <v>0</v>
      </c>
    </row>
    <row r="7" spans="1:24" s="36" customFormat="1">
      <c r="A7" s="36" t="s">
        <v>84</v>
      </c>
      <c r="B7" s="36" t="s">
        <v>0</v>
      </c>
      <c r="C7" s="36">
        <v>1</v>
      </c>
      <c r="D7" s="36">
        <v>2</v>
      </c>
      <c r="E7" s="36" t="s">
        <v>121</v>
      </c>
      <c r="F7" s="36" t="s">
        <v>85</v>
      </c>
      <c r="G7" s="36">
        <v>7000</v>
      </c>
      <c r="H7" s="36">
        <v>43</v>
      </c>
      <c r="J7" s="36">
        <v>39</v>
      </c>
      <c r="L7" s="36">
        <v>-53</v>
      </c>
      <c r="N7" s="36">
        <v>57</v>
      </c>
      <c r="P7" s="36">
        <v>61</v>
      </c>
      <c r="Q7" s="36">
        <v>66</v>
      </c>
      <c r="R7" s="36">
        <v>66</v>
      </c>
      <c r="T7" s="36">
        <v>72</v>
      </c>
      <c r="U7" s="36">
        <v>72</v>
      </c>
      <c r="V7" s="36">
        <v>0</v>
      </c>
      <c r="W7" s="36">
        <v>0</v>
      </c>
      <c r="X7" s="36">
        <v>0</v>
      </c>
    </row>
    <row r="8" spans="1:24" s="36" customFormat="1">
      <c r="A8" s="36" t="s">
        <v>84</v>
      </c>
      <c r="B8" s="36" t="s">
        <v>0</v>
      </c>
      <c r="C8" s="36">
        <v>2</v>
      </c>
      <c r="D8" s="36">
        <v>3</v>
      </c>
      <c r="E8" s="36" t="s">
        <v>121</v>
      </c>
      <c r="F8" s="36" t="s">
        <v>85</v>
      </c>
      <c r="G8" s="36">
        <v>7000</v>
      </c>
      <c r="H8" s="36">
        <v>61</v>
      </c>
      <c r="J8" s="36">
        <v>57</v>
      </c>
      <c r="L8" s="36">
        <v>-53</v>
      </c>
      <c r="N8" s="36">
        <v>39</v>
      </c>
      <c r="P8" s="36">
        <v>43</v>
      </c>
      <c r="Q8" s="36">
        <v>72</v>
      </c>
      <c r="R8" s="36">
        <v>72</v>
      </c>
      <c r="T8" s="36">
        <v>66</v>
      </c>
      <c r="U8" s="36">
        <v>66</v>
      </c>
      <c r="V8" s="36">
        <v>0</v>
      </c>
      <c r="W8" s="36">
        <v>0</v>
      </c>
      <c r="X8" s="36">
        <v>0</v>
      </c>
    </row>
    <row r="9" spans="1:24" s="36" customFormat="1">
      <c r="A9" s="36" t="s">
        <v>84</v>
      </c>
      <c r="B9" s="36">
        <v>1</v>
      </c>
      <c r="C9" s="36" t="s">
        <v>94</v>
      </c>
      <c r="D9" s="36" t="s">
        <v>0</v>
      </c>
      <c r="E9" s="36" t="s">
        <v>122</v>
      </c>
      <c r="F9" s="36" t="s">
        <v>85</v>
      </c>
      <c r="G9" s="36">
        <v>7000</v>
      </c>
      <c r="H9" s="36">
        <v>24</v>
      </c>
      <c r="J9" s="36">
        <v>22</v>
      </c>
      <c r="L9" s="36">
        <v>-29</v>
      </c>
      <c r="N9" s="36">
        <v>22</v>
      </c>
      <c r="P9" s="36">
        <v>24</v>
      </c>
      <c r="Q9" s="36">
        <v>38</v>
      </c>
      <c r="R9" s="36">
        <v>38</v>
      </c>
      <c r="T9" s="36">
        <v>38</v>
      </c>
      <c r="U9" s="36">
        <v>38</v>
      </c>
      <c r="V9" s="36">
        <v>0</v>
      </c>
      <c r="W9" s="36">
        <v>0</v>
      </c>
      <c r="X9" s="36">
        <v>0</v>
      </c>
    </row>
    <row r="10" spans="1:24" s="36" customFormat="1">
      <c r="A10" s="36" t="s">
        <v>84</v>
      </c>
      <c r="B10" s="36">
        <v>2</v>
      </c>
      <c r="C10" s="36" t="s">
        <v>94</v>
      </c>
      <c r="D10" s="36" t="s">
        <v>0</v>
      </c>
      <c r="E10" s="36" t="s">
        <v>122</v>
      </c>
      <c r="F10" s="36" t="s">
        <v>85</v>
      </c>
      <c r="G10" s="36">
        <v>7000</v>
      </c>
      <c r="H10" s="36">
        <v>26</v>
      </c>
      <c r="J10" s="36">
        <v>24</v>
      </c>
      <c r="L10" s="36">
        <v>-33</v>
      </c>
      <c r="N10" s="36">
        <v>24</v>
      </c>
      <c r="P10" s="36">
        <v>26</v>
      </c>
      <c r="Q10" s="36">
        <v>40</v>
      </c>
      <c r="R10" s="36">
        <v>40</v>
      </c>
      <c r="T10" s="36">
        <v>40</v>
      </c>
      <c r="U10" s="36">
        <v>40</v>
      </c>
      <c r="V10" s="36">
        <v>0</v>
      </c>
      <c r="W10" s="36">
        <v>0</v>
      </c>
      <c r="X10" s="36">
        <v>0</v>
      </c>
    </row>
    <row r="11" spans="1:24" s="36" customFormat="1">
      <c r="A11" s="36" t="s">
        <v>84</v>
      </c>
      <c r="B11" s="36">
        <v>3</v>
      </c>
      <c r="C11" s="36" t="s">
        <v>94</v>
      </c>
      <c r="D11" s="36" t="s">
        <v>0</v>
      </c>
      <c r="E11" s="36" t="s">
        <v>122</v>
      </c>
      <c r="F11" s="36" t="s">
        <v>85</v>
      </c>
      <c r="G11" s="36">
        <v>7000</v>
      </c>
      <c r="H11" s="36">
        <v>24</v>
      </c>
      <c r="J11" s="36">
        <v>22</v>
      </c>
      <c r="L11" s="36">
        <v>-29</v>
      </c>
      <c r="N11" s="36">
        <v>22</v>
      </c>
      <c r="P11" s="36">
        <v>24</v>
      </c>
      <c r="Q11" s="36">
        <v>38</v>
      </c>
      <c r="R11" s="36">
        <v>38</v>
      </c>
      <c r="T11" s="36">
        <v>38</v>
      </c>
      <c r="U11" s="36">
        <v>38</v>
      </c>
      <c r="V11" s="36">
        <v>0</v>
      </c>
      <c r="W11" s="36">
        <v>0</v>
      </c>
      <c r="X11" s="36">
        <v>0</v>
      </c>
    </row>
    <row r="12" spans="1:24" s="36" customFormat="1">
      <c r="A12" s="36" t="s">
        <v>123</v>
      </c>
      <c r="B12" s="36" t="s">
        <v>94</v>
      </c>
      <c r="C12" s="36">
        <v>1</v>
      </c>
      <c r="D12" s="36">
        <v>2</v>
      </c>
      <c r="E12" s="36" t="s">
        <v>124</v>
      </c>
      <c r="F12" s="36" t="s">
        <v>85</v>
      </c>
      <c r="G12" s="36">
        <v>7000</v>
      </c>
      <c r="H12" s="36">
        <v>47</v>
      </c>
      <c r="J12" s="36">
        <v>44</v>
      </c>
      <c r="L12" s="36">
        <v>-48</v>
      </c>
      <c r="N12" s="36">
        <v>50</v>
      </c>
      <c r="P12" s="36">
        <v>53</v>
      </c>
      <c r="Q12" s="36">
        <v>65</v>
      </c>
      <c r="R12" s="36">
        <v>65</v>
      </c>
      <c r="T12" s="36">
        <v>67</v>
      </c>
      <c r="U12" s="36">
        <v>67</v>
      </c>
      <c r="V12" s="36">
        <v>0</v>
      </c>
      <c r="W12" s="36">
        <v>0</v>
      </c>
      <c r="X12" s="36">
        <v>0</v>
      </c>
    </row>
    <row r="13" spans="1:24" s="36" customFormat="1">
      <c r="A13" s="36" t="s">
        <v>123</v>
      </c>
      <c r="B13" s="36" t="s">
        <v>94</v>
      </c>
      <c r="C13" s="36">
        <v>2</v>
      </c>
      <c r="D13" s="36">
        <v>3</v>
      </c>
      <c r="E13" s="36" t="s">
        <v>124</v>
      </c>
      <c r="F13" s="36" t="s">
        <v>85</v>
      </c>
      <c r="G13" s="36">
        <v>7000</v>
      </c>
      <c r="H13" s="36">
        <v>53</v>
      </c>
      <c r="J13" s="36">
        <v>50</v>
      </c>
      <c r="L13" s="36">
        <v>-48</v>
      </c>
      <c r="N13" s="36">
        <v>44</v>
      </c>
      <c r="P13" s="36">
        <v>47</v>
      </c>
      <c r="Q13" s="36">
        <v>67</v>
      </c>
      <c r="R13" s="36">
        <v>67</v>
      </c>
      <c r="T13" s="36">
        <v>65</v>
      </c>
      <c r="U13" s="36">
        <v>65</v>
      </c>
      <c r="V13" s="36">
        <v>0</v>
      </c>
      <c r="W13" s="36">
        <v>0</v>
      </c>
      <c r="X13" s="36">
        <v>0</v>
      </c>
    </row>
    <row r="14" spans="1:24" s="36" customFormat="1">
      <c r="A14" s="36" t="s">
        <v>123</v>
      </c>
      <c r="B14" s="36" t="s">
        <v>0</v>
      </c>
      <c r="C14" s="36">
        <v>1</v>
      </c>
      <c r="D14" s="36">
        <v>2</v>
      </c>
      <c r="E14" s="36" t="s">
        <v>124</v>
      </c>
      <c r="F14" s="36" t="s">
        <v>85</v>
      </c>
      <c r="G14" s="36">
        <v>7000</v>
      </c>
      <c r="H14" s="36">
        <v>47</v>
      </c>
      <c r="J14" s="36">
        <v>44</v>
      </c>
      <c r="L14" s="36">
        <v>-48</v>
      </c>
      <c r="N14" s="36">
        <v>50</v>
      </c>
      <c r="P14" s="36">
        <v>53</v>
      </c>
      <c r="Q14" s="36">
        <v>65</v>
      </c>
      <c r="R14" s="36">
        <v>65</v>
      </c>
      <c r="T14" s="36">
        <v>67</v>
      </c>
      <c r="U14" s="36">
        <v>67</v>
      </c>
      <c r="V14" s="36">
        <v>0</v>
      </c>
      <c r="W14" s="36">
        <v>0</v>
      </c>
      <c r="X14" s="36">
        <v>0</v>
      </c>
    </row>
    <row r="15" spans="1:24" s="36" customFormat="1">
      <c r="A15" s="36" t="s">
        <v>123</v>
      </c>
      <c r="B15" s="36" t="s">
        <v>0</v>
      </c>
      <c r="C15" s="36">
        <v>2</v>
      </c>
      <c r="D15" s="36">
        <v>3</v>
      </c>
      <c r="E15" s="36" t="s">
        <v>124</v>
      </c>
      <c r="F15" s="36" t="s">
        <v>85</v>
      </c>
      <c r="G15" s="36">
        <v>7000</v>
      </c>
      <c r="H15" s="36">
        <v>53</v>
      </c>
      <c r="J15" s="36">
        <v>50</v>
      </c>
      <c r="L15" s="36">
        <v>-48</v>
      </c>
      <c r="N15" s="36">
        <v>44</v>
      </c>
      <c r="P15" s="36">
        <v>47</v>
      </c>
      <c r="Q15" s="36">
        <v>67</v>
      </c>
      <c r="R15" s="36">
        <v>67</v>
      </c>
      <c r="T15" s="36">
        <v>65</v>
      </c>
      <c r="U15" s="36">
        <v>65</v>
      </c>
      <c r="V15" s="36">
        <v>0</v>
      </c>
      <c r="W15" s="36">
        <v>0</v>
      </c>
      <c r="X15" s="36">
        <v>0</v>
      </c>
    </row>
    <row r="16" spans="1:24" s="36" customFormat="1">
      <c r="A16" s="36" t="s">
        <v>123</v>
      </c>
      <c r="B16" s="36">
        <v>1</v>
      </c>
      <c r="C16" s="36" t="s">
        <v>94</v>
      </c>
      <c r="D16" s="36" t="s">
        <v>0</v>
      </c>
      <c r="E16" s="36" t="s">
        <v>125</v>
      </c>
      <c r="F16" s="36" t="s">
        <v>85</v>
      </c>
      <c r="G16" s="36">
        <v>7000</v>
      </c>
      <c r="H16" s="36">
        <v>25</v>
      </c>
      <c r="J16" s="36">
        <v>23</v>
      </c>
      <c r="L16" s="36">
        <v>-26</v>
      </c>
      <c r="N16" s="36">
        <v>23</v>
      </c>
      <c r="P16" s="36">
        <v>25</v>
      </c>
      <c r="Q16" s="36">
        <v>37</v>
      </c>
      <c r="R16" s="36">
        <v>37</v>
      </c>
      <c r="T16" s="36">
        <v>37</v>
      </c>
      <c r="U16" s="36">
        <v>37</v>
      </c>
      <c r="V16" s="36">
        <v>0</v>
      </c>
      <c r="W16" s="36">
        <v>0</v>
      </c>
      <c r="X16" s="36">
        <v>0</v>
      </c>
    </row>
    <row r="17" spans="1:24" s="36" customFormat="1">
      <c r="A17" s="36" t="s">
        <v>123</v>
      </c>
      <c r="B17" s="36">
        <v>2</v>
      </c>
      <c r="C17" s="36" t="s">
        <v>94</v>
      </c>
      <c r="D17" s="36" t="s">
        <v>0</v>
      </c>
      <c r="E17" s="36" t="s">
        <v>125</v>
      </c>
      <c r="F17" s="36" t="s">
        <v>85</v>
      </c>
      <c r="G17" s="36">
        <v>7000</v>
      </c>
      <c r="H17" s="36">
        <v>27</v>
      </c>
      <c r="J17" s="36">
        <v>25</v>
      </c>
      <c r="L17" s="36">
        <v>-29</v>
      </c>
      <c r="N17" s="36">
        <v>25</v>
      </c>
      <c r="P17" s="36">
        <v>27</v>
      </c>
      <c r="Q17" s="36">
        <v>38</v>
      </c>
      <c r="R17" s="36">
        <v>38</v>
      </c>
      <c r="T17" s="36">
        <v>38</v>
      </c>
      <c r="U17" s="36">
        <v>38</v>
      </c>
      <c r="V17" s="36">
        <v>0</v>
      </c>
      <c r="W17" s="36">
        <v>0</v>
      </c>
      <c r="X17" s="36">
        <v>0</v>
      </c>
    </row>
    <row r="18" spans="1:24" s="36" customFormat="1">
      <c r="A18" s="36" t="s">
        <v>123</v>
      </c>
      <c r="B18" s="36">
        <v>3</v>
      </c>
      <c r="C18" s="36" t="s">
        <v>94</v>
      </c>
      <c r="D18" s="36" t="s">
        <v>0</v>
      </c>
      <c r="E18" s="36" t="s">
        <v>125</v>
      </c>
      <c r="F18" s="36" t="s">
        <v>85</v>
      </c>
      <c r="G18" s="36">
        <v>7000</v>
      </c>
      <c r="H18" s="36">
        <v>25</v>
      </c>
      <c r="J18" s="36">
        <v>23</v>
      </c>
      <c r="L18" s="36">
        <v>-26</v>
      </c>
      <c r="N18" s="36">
        <v>23</v>
      </c>
      <c r="P18" s="36">
        <v>25</v>
      </c>
      <c r="Q18" s="36">
        <v>37</v>
      </c>
      <c r="R18" s="36">
        <v>37</v>
      </c>
      <c r="T18" s="36">
        <v>37</v>
      </c>
      <c r="U18" s="36">
        <v>37</v>
      </c>
      <c r="V18" s="36">
        <v>0</v>
      </c>
      <c r="W18" s="36">
        <v>0</v>
      </c>
      <c r="X18" s="36">
        <v>0</v>
      </c>
    </row>
    <row r="19" spans="1:24" s="36" customFormat="1">
      <c r="A19" s="36" t="s">
        <v>126</v>
      </c>
      <c r="B19" s="36" t="s">
        <v>94</v>
      </c>
      <c r="C19" s="36">
        <v>1</v>
      </c>
      <c r="D19" s="36">
        <v>2</v>
      </c>
      <c r="E19" s="36" t="s">
        <v>127</v>
      </c>
      <c r="F19" s="36" t="s">
        <v>85</v>
      </c>
      <c r="G19" s="36">
        <v>7000</v>
      </c>
      <c r="H19" s="36">
        <v>36</v>
      </c>
      <c r="J19" s="36">
        <v>35</v>
      </c>
      <c r="L19" s="36">
        <v>-52</v>
      </c>
      <c r="N19" s="36">
        <v>55</v>
      </c>
      <c r="P19" s="36">
        <v>55</v>
      </c>
      <c r="Q19" s="36">
        <v>63</v>
      </c>
      <c r="R19" s="36">
        <v>63</v>
      </c>
      <c r="T19" s="36">
        <v>70</v>
      </c>
      <c r="U19" s="36">
        <v>70</v>
      </c>
      <c r="V19" s="36">
        <v>0</v>
      </c>
      <c r="W19" s="36">
        <v>0</v>
      </c>
      <c r="X19" s="36">
        <v>0</v>
      </c>
    </row>
    <row r="20" spans="1:24" s="36" customFormat="1">
      <c r="A20" s="36" t="s">
        <v>126</v>
      </c>
      <c r="B20" s="36" t="s">
        <v>94</v>
      </c>
      <c r="C20" s="36">
        <v>2</v>
      </c>
      <c r="D20" s="36">
        <v>3</v>
      </c>
      <c r="E20" s="36" t="s">
        <v>127</v>
      </c>
      <c r="F20" s="36" t="s">
        <v>85</v>
      </c>
      <c r="G20" s="36">
        <v>7000</v>
      </c>
      <c r="H20" s="36">
        <v>55</v>
      </c>
      <c r="J20" s="36">
        <v>55</v>
      </c>
      <c r="L20" s="36">
        <v>-52</v>
      </c>
      <c r="N20" s="36">
        <v>35</v>
      </c>
      <c r="P20" s="36">
        <v>36</v>
      </c>
      <c r="Q20" s="36">
        <v>70</v>
      </c>
      <c r="R20" s="36">
        <v>70</v>
      </c>
      <c r="T20" s="36">
        <v>63</v>
      </c>
      <c r="U20" s="36">
        <v>63</v>
      </c>
      <c r="V20" s="36">
        <v>0</v>
      </c>
      <c r="W20" s="36">
        <v>0</v>
      </c>
      <c r="X20" s="36">
        <v>0</v>
      </c>
    </row>
    <row r="21" spans="1:24" s="36" customFormat="1">
      <c r="A21" s="36" t="s">
        <v>126</v>
      </c>
      <c r="B21" s="36" t="s">
        <v>0</v>
      </c>
      <c r="C21" s="36">
        <v>1</v>
      </c>
      <c r="D21" s="36">
        <v>2</v>
      </c>
      <c r="E21" s="36" t="s">
        <v>127</v>
      </c>
      <c r="F21" s="36" t="s">
        <v>85</v>
      </c>
      <c r="G21" s="36">
        <v>7000</v>
      </c>
      <c r="H21" s="36">
        <v>36</v>
      </c>
      <c r="J21" s="36">
        <v>35</v>
      </c>
      <c r="L21" s="36">
        <v>-52</v>
      </c>
      <c r="N21" s="36">
        <v>55</v>
      </c>
      <c r="P21" s="36">
        <v>55</v>
      </c>
      <c r="Q21" s="36">
        <v>63</v>
      </c>
      <c r="R21" s="36">
        <v>63</v>
      </c>
      <c r="T21" s="36">
        <v>70</v>
      </c>
      <c r="U21" s="36">
        <v>70</v>
      </c>
      <c r="V21" s="36">
        <v>0</v>
      </c>
      <c r="W21" s="36">
        <v>0</v>
      </c>
      <c r="X21" s="36">
        <v>0</v>
      </c>
    </row>
    <row r="22" spans="1:24" s="36" customFormat="1">
      <c r="A22" s="36" t="s">
        <v>126</v>
      </c>
      <c r="B22" s="36" t="s">
        <v>0</v>
      </c>
      <c r="C22" s="36">
        <v>2</v>
      </c>
      <c r="D22" s="36">
        <v>3</v>
      </c>
      <c r="E22" s="36" t="s">
        <v>127</v>
      </c>
      <c r="F22" s="36" t="s">
        <v>85</v>
      </c>
      <c r="G22" s="36">
        <v>7000</v>
      </c>
      <c r="H22" s="36">
        <v>55</v>
      </c>
      <c r="J22" s="36">
        <v>55</v>
      </c>
      <c r="L22" s="36">
        <v>-52</v>
      </c>
      <c r="N22" s="36">
        <v>35</v>
      </c>
      <c r="P22" s="36">
        <v>36</v>
      </c>
      <c r="Q22" s="36">
        <v>70</v>
      </c>
      <c r="R22" s="36">
        <v>70</v>
      </c>
      <c r="T22" s="36">
        <v>63</v>
      </c>
      <c r="U22" s="36">
        <v>63</v>
      </c>
      <c r="V22" s="36">
        <v>0</v>
      </c>
      <c r="W22" s="36">
        <v>0</v>
      </c>
      <c r="X22" s="36">
        <v>0</v>
      </c>
    </row>
    <row r="23" spans="1:24" s="36" customFormat="1">
      <c r="A23" s="36" t="s">
        <v>126</v>
      </c>
      <c r="B23" s="36">
        <v>1</v>
      </c>
      <c r="C23" s="36" t="s">
        <v>94</v>
      </c>
      <c r="D23" s="36" t="s">
        <v>0</v>
      </c>
      <c r="E23" s="36" t="s">
        <v>128</v>
      </c>
      <c r="F23" s="36" t="s">
        <v>85</v>
      </c>
      <c r="G23" s="36">
        <v>7000</v>
      </c>
      <c r="H23" s="36">
        <v>21</v>
      </c>
      <c r="J23" s="36">
        <v>21</v>
      </c>
      <c r="L23" s="36">
        <v>-30</v>
      </c>
      <c r="N23" s="36">
        <v>21</v>
      </c>
      <c r="P23" s="36">
        <v>21</v>
      </c>
      <c r="Q23" s="36">
        <v>38</v>
      </c>
      <c r="R23" s="36">
        <v>38</v>
      </c>
      <c r="T23" s="36">
        <v>38</v>
      </c>
      <c r="U23" s="36">
        <v>38</v>
      </c>
      <c r="V23" s="36">
        <v>0</v>
      </c>
      <c r="W23" s="36">
        <v>0</v>
      </c>
      <c r="X23" s="36">
        <v>0</v>
      </c>
    </row>
    <row r="24" spans="1:24" s="36" customFormat="1">
      <c r="A24" s="36" t="s">
        <v>126</v>
      </c>
      <c r="B24" s="36">
        <v>2</v>
      </c>
      <c r="C24" s="36" t="s">
        <v>94</v>
      </c>
      <c r="D24" s="36" t="s">
        <v>0</v>
      </c>
      <c r="E24" s="36" t="s">
        <v>128</v>
      </c>
      <c r="F24" s="36" t="s">
        <v>85</v>
      </c>
      <c r="G24" s="36">
        <v>7000</v>
      </c>
      <c r="H24" s="36">
        <v>23</v>
      </c>
      <c r="J24" s="36">
        <v>23</v>
      </c>
      <c r="L24" s="36">
        <v>-32</v>
      </c>
      <c r="N24" s="36">
        <v>23</v>
      </c>
      <c r="P24" s="36">
        <v>23</v>
      </c>
      <c r="Q24" s="36">
        <v>39</v>
      </c>
      <c r="R24" s="36">
        <v>39</v>
      </c>
      <c r="T24" s="36">
        <v>39</v>
      </c>
      <c r="U24" s="36">
        <v>39</v>
      </c>
      <c r="V24" s="36">
        <v>0</v>
      </c>
      <c r="W24" s="36">
        <v>0</v>
      </c>
      <c r="X24" s="36">
        <v>0</v>
      </c>
    </row>
    <row r="25" spans="1:24" s="36" customFormat="1">
      <c r="A25" s="36" t="s">
        <v>126</v>
      </c>
      <c r="B25" s="36">
        <v>3</v>
      </c>
      <c r="C25" s="36" t="s">
        <v>94</v>
      </c>
      <c r="D25" s="36" t="s">
        <v>0</v>
      </c>
      <c r="E25" s="36" t="s">
        <v>128</v>
      </c>
      <c r="F25" s="36" t="s">
        <v>85</v>
      </c>
      <c r="G25" s="36">
        <v>7000</v>
      </c>
      <c r="H25" s="36">
        <v>21</v>
      </c>
      <c r="J25" s="36">
        <v>21</v>
      </c>
      <c r="L25" s="36">
        <v>-30</v>
      </c>
      <c r="N25" s="36">
        <v>21</v>
      </c>
      <c r="P25" s="36">
        <v>21</v>
      </c>
      <c r="Q25" s="36">
        <v>38</v>
      </c>
      <c r="R25" s="36">
        <v>38</v>
      </c>
      <c r="T25" s="36">
        <v>38</v>
      </c>
      <c r="U25" s="36">
        <v>38</v>
      </c>
      <c r="V25" s="36">
        <v>0</v>
      </c>
      <c r="W25" s="36">
        <v>0</v>
      </c>
      <c r="X25" s="36">
        <v>0</v>
      </c>
    </row>
    <row r="26" spans="1:24" s="36" customFormat="1">
      <c r="A26" s="36" t="s">
        <v>86</v>
      </c>
      <c r="B26" s="36" t="s">
        <v>94</v>
      </c>
      <c r="C26" s="36">
        <v>1</v>
      </c>
      <c r="D26" s="36">
        <v>2</v>
      </c>
      <c r="E26" s="36" t="s">
        <v>129</v>
      </c>
      <c r="F26" s="36" t="s">
        <v>85</v>
      </c>
      <c r="G26" s="36">
        <v>7000</v>
      </c>
      <c r="H26" s="36">
        <v>43</v>
      </c>
      <c r="K26" s="36">
        <v>-113</v>
      </c>
      <c r="L26" s="36">
        <v>-176</v>
      </c>
      <c r="M26" s="36">
        <v>-16</v>
      </c>
      <c r="P26" s="36">
        <v>250</v>
      </c>
      <c r="Q26" s="36">
        <v>104</v>
      </c>
      <c r="S26" s="36">
        <v>122</v>
      </c>
      <c r="U26" s="36">
        <v>163</v>
      </c>
      <c r="V26" s="36">
        <v>0</v>
      </c>
      <c r="W26" s="36">
        <v>0</v>
      </c>
      <c r="X26" s="36">
        <v>0</v>
      </c>
    </row>
    <row r="27" spans="1:24" s="36" customFormat="1">
      <c r="A27" s="36" t="s">
        <v>86</v>
      </c>
      <c r="B27" s="36" t="s">
        <v>94</v>
      </c>
      <c r="C27" s="36">
        <v>2</v>
      </c>
      <c r="D27" s="36">
        <v>3</v>
      </c>
      <c r="E27" s="36" t="s">
        <v>129</v>
      </c>
      <c r="F27" s="36" t="s">
        <v>85</v>
      </c>
      <c r="G27" s="36">
        <v>7000</v>
      </c>
      <c r="H27" s="36">
        <v>250</v>
      </c>
      <c r="K27" s="36">
        <v>-16</v>
      </c>
      <c r="L27" s="36">
        <v>-176</v>
      </c>
      <c r="M27" s="36">
        <v>-113</v>
      </c>
      <c r="P27" s="36">
        <v>43</v>
      </c>
      <c r="Q27" s="36">
        <v>163</v>
      </c>
      <c r="S27" s="36">
        <v>122</v>
      </c>
      <c r="U27" s="36">
        <v>104</v>
      </c>
      <c r="V27" s="36">
        <v>0</v>
      </c>
      <c r="W27" s="36">
        <v>0</v>
      </c>
      <c r="X27" s="36">
        <v>0</v>
      </c>
    </row>
    <row r="28" spans="1:24" s="36" customFormat="1">
      <c r="A28" s="36" t="s">
        <v>86</v>
      </c>
      <c r="B28" s="36" t="s">
        <v>0</v>
      </c>
      <c r="C28" s="36">
        <v>1</v>
      </c>
      <c r="D28" s="36">
        <v>2</v>
      </c>
      <c r="E28" s="36" t="s">
        <v>129</v>
      </c>
      <c r="F28" s="36" t="s">
        <v>85</v>
      </c>
      <c r="G28" s="36">
        <v>7000</v>
      </c>
      <c r="H28" s="36">
        <v>43</v>
      </c>
      <c r="K28" s="36">
        <v>-113</v>
      </c>
      <c r="L28" s="36">
        <v>-176</v>
      </c>
      <c r="M28" s="36">
        <v>-16</v>
      </c>
      <c r="P28" s="36">
        <v>250</v>
      </c>
      <c r="Q28" s="36">
        <v>104</v>
      </c>
      <c r="S28" s="36">
        <v>122</v>
      </c>
      <c r="U28" s="36">
        <v>163</v>
      </c>
      <c r="V28" s="36">
        <v>0</v>
      </c>
      <c r="W28" s="36">
        <v>0</v>
      </c>
      <c r="X28" s="36">
        <v>0</v>
      </c>
    </row>
    <row r="29" spans="1:24" s="36" customFormat="1">
      <c r="A29" s="36" t="s">
        <v>86</v>
      </c>
      <c r="B29" s="36" t="s">
        <v>0</v>
      </c>
      <c r="C29" s="36">
        <v>2</v>
      </c>
      <c r="D29" s="36">
        <v>3</v>
      </c>
      <c r="E29" s="36" t="s">
        <v>129</v>
      </c>
      <c r="F29" s="36" t="s">
        <v>85</v>
      </c>
      <c r="G29" s="36">
        <v>7000</v>
      </c>
      <c r="H29" s="36">
        <v>250</v>
      </c>
      <c r="K29" s="36">
        <v>-16</v>
      </c>
      <c r="L29" s="36">
        <v>-176</v>
      </c>
      <c r="M29" s="36">
        <v>-113</v>
      </c>
      <c r="P29" s="36">
        <v>43</v>
      </c>
      <c r="Q29" s="36">
        <v>163</v>
      </c>
      <c r="S29" s="36">
        <v>122</v>
      </c>
      <c r="U29" s="36">
        <v>104</v>
      </c>
      <c r="V29" s="36">
        <v>0</v>
      </c>
      <c r="W29" s="36">
        <v>0</v>
      </c>
      <c r="X29" s="36">
        <v>0</v>
      </c>
    </row>
    <row r="30" spans="1:24" s="36" customFormat="1">
      <c r="A30" s="36" t="s">
        <v>86</v>
      </c>
      <c r="B30" s="36">
        <v>1</v>
      </c>
      <c r="C30" s="36" t="s">
        <v>94</v>
      </c>
      <c r="D30" s="36" t="s">
        <v>0</v>
      </c>
      <c r="E30" s="36" t="s">
        <v>130</v>
      </c>
      <c r="F30" s="36" t="s">
        <v>85</v>
      </c>
      <c r="G30" s="36">
        <v>7000</v>
      </c>
      <c r="H30" s="36">
        <v>33</v>
      </c>
      <c r="K30" s="36">
        <v>-110</v>
      </c>
      <c r="L30" s="36">
        <v>-153</v>
      </c>
      <c r="M30" s="36">
        <v>-110</v>
      </c>
      <c r="P30" s="36">
        <v>33</v>
      </c>
      <c r="Q30" s="36">
        <v>97</v>
      </c>
      <c r="S30" s="36">
        <v>56</v>
      </c>
      <c r="U30" s="36">
        <v>97</v>
      </c>
      <c r="V30" s="36">
        <v>0</v>
      </c>
      <c r="W30" s="36">
        <v>0</v>
      </c>
      <c r="X30" s="36">
        <v>0</v>
      </c>
    </row>
    <row r="31" spans="1:24" s="36" customFormat="1">
      <c r="A31" s="36" t="s">
        <v>86</v>
      </c>
      <c r="B31" s="36">
        <v>2</v>
      </c>
      <c r="C31" s="36" t="s">
        <v>94</v>
      </c>
      <c r="D31" s="36" t="s">
        <v>0</v>
      </c>
      <c r="E31" s="36" t="s">
        <v>130</v>
      </c>
      <c r="F31" s="36" t="s">
        <v>85</v>
      </c>
      <c r="G31" s="36">
        <v>7000</v>
      </c>
      <c r="H31" s="36">
        <v>40</v>
      </c>
      <c r="K31" s="36">
        <v>-169</v>
      </c>
      <c r="L31" s="36">
        <v>-233</v>
      </c>
      <c r="M31" s="36">
        <v>-169</v>
      </c>
      <c r="P31" s="36">
        <v>40</v>
      </c>
      <c r="Q31" s="36">
        <v>137</v>
      </c>
      <c r="S31" s="36">
        <v>83</v>
      </c>
      <c r="U31" s="36">
        <v>137</v>
      </c>
      <c r="V31" s="36">
        <v>0</v>
      </c>
      <c r="W31" s="36">
        <v>0</v>
      </c>
      <c r="X31" s="36">
        <v>0</v>
      </c>
    </row>
    <row r="32" spans="1:24" s="36" customFormat="1">
      <c r="A32" s="36" t="s">
        <v>86</v>
      </c>
      <c r="B32" s="36">
        <v>3</v>
      </c>
      <c r="C32" s="36" t="s">
        <v>94</v>
      </c>
      <c r="D32" s="36" t="s">
        <v>0</v>
      </c>
      <c r="E32" s="36" t="s">
        <v>130</v>
      </c>
      <c r="F32" s="36" t="s">
        <v>85</v>
      </c>
      <c r="G32" s="36">
        <v>7000</v>
      </c>
      <c r="H32" s="36">
        <v>33</v>
      </c>
      <c r="K32" s="36">
        <v>-110</v>
      </c>
      <c r="L32" s="36">
        <v>-153</v>
      </c>
      <c r="M32" s="36">
        <v>-110</v>
      </c>
      <c r="P32" s="36">
        <v>33</v>
      </c>
      <c r="Q32" s="36">
        <v>97</v>
      </c>
      <c r="S32" s="36">
        <v>56</v>
      </c>
      <c r="U32" s="36">
        <v>97</v>
      </c>
      <c r="V32" s="36">
        <v>0</v>
      </c>
      <c r="W32" s="36">
        <v>0</v>
      </c>
      <c r="X32" s="36"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Readme</vt:lpstr>
      <vt:lpstr>Design</vt:lpstr>
      <vt:lpstr>List</vt:lpstr>
      <vt:lpstr>shs</vt:lpstr>
      <vt:lpstr>wf</vt:lpstr>
      <vt:lpstr>pipe</vt:lpstr>
      <vt:lpstr>str</vt:lpstr>
      <vt:lpstr>out</vt:lpstr>
      <vt:lpstr>Design!Print_Area</vt:lpstr>
      <vt:lpstr>List!Print_Area</vt:lpstr>
      <vt:lpstr>pipe!Print_Area</vt:lpstr>
      <vt:lpstr>Readme!Print_Area</vt:lpstr>
      <vt:lpstr>shs!Print_Area</vt:lpstr>
      <vt:lpstr>wf!Print_Area</vt:lpstr>
    </vt:vector>
  </TitlesOfParts>
  <Company>TF設計株式会社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Fujioka</dc:creator>
  <cp:lastModifiedBy>info</cp:lastModifiedBy>
  <cp:lastPrinted>2024-12-02T00:51:19Z</cp:lastPrinted>
  <dcterms:created xsi:type="dcterms:W3CDTF">2001-09-03T05:46:59Z</dcterms:created>
  <dcterms:modified xsi:type="dcterms:W3CDTF">2024-12-25T09:15:06Z</dcterms:modified>
</cp:coreProperties>
</file>